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fileSharing readOnlyRecommended="1"/>
  <workbookPr/>
  <mc:AlternateContent xmlns:mc="http://schemas.openxmlformats.org/markup-compatibility/2006">
    <mc:Choice Requires="x15">
      <x15ac:absPath xmlns:x15ac="http://schemas.microsoft.com/office/spreadsheetml/2010/11/ac" url="https://theaudienceagency.sharepoint.com/sites/Research/Shared Documents/Tools, Products and Packages/Products/Population Profile Report/"/>
    </mc:Choice>
  </mc:AlternateContent>
  <xr:revisionPtr revIDLastSave="2" documentId="14_{E3207CB3-30CF-4096-81CC-9580B712FFFC}" xr6:coauthVersionLast="47" xr6:coauthVersionMax="47" xr10:uidLastSave="{9E1380BA-6F70-4C12-8F3E-D3BF5E78288C}"/>
  <bookViews>
    <workbookView xWindow="-120" yWindow="-120" windowWidth="29040" windowHeight="15990" tabRatio="870" xr2:uid="{00000000-000D-0000-FFFF-FFFF00000000}"/>
  </bookViews>
  <sheets>
    <sheet name="Introduction" sheetId="5" r:id="rId1"/>
    <sheet name="Segmentation" sheetId="6" r:id="rId2"/>
    <sheet name="Census demographics" sheetId="8" r:id="rId3"/>
    <sheet name="LMSE" sheetId="7" r:id="rId4"/>
    <sheet name="Calculations" sheetId="28" state="hidden" r:id="rId5"/>
    <sheet name="Disclaimer" sheetId="10" r:id="rId6"/>
  </sheets>
  <definedNames>
    <definedName name="_xlnm.Database">#REF!</definedName>
    <definedName name="_xlnm.Print_Area" localSheetId="2">'Census demographics'!$A$1:$G$532</definedName>
    <definedName name="_xlnm.Print_Area" localSheetId="5">Disclaimer!$A$1:$F$13</definedName>
    <definedName name="_xlnm.Print_Area" localSheetId="0">Introduction!$A$1:$F$84</definedName>
    <definedName name="_xlnm.Print_Area" localSheetId="3">LMSE!$A$1:$G$175</definedName>
    <definedName name="_xlnm.Print_Area" localSheetId="1">Segmentation!$A$1:$G$84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46" i="28" l="1"/>
  <c r="D345" i="28"/>
  <c r="D344" i="28"/>
  <c r="D343" i="28"/>
  <c r="D342" i="28"/>
  <c r="D341" i="28"/>
  <c r="D340" i="28"/>
  <c r="D339" i="28"/>
  <c r="D338" i="28"/>
  <c r="D337" i="28"/>
  <c r="D336" i="28"/>
  <c r="D335" i="28"/>
  <c r="D334" i="28"/>
  <c r="D333" i="28"/>
  <c r="D332" i="28"/>
  <c r="D331" i="28"/>
  <c r="D330" i="28"/>
  <c r="D329" i="28"/>
  <c r="D328" i="28"/>
  <c r="D327" i="28"/>
  <c r="D326" i="28"/>
  <c r="D325" i="28"/>
  <c r="D324" i="28"/>
  <c r="D323" i="28"/>
  <c r="D322" i="28"/>
  <c r="D321" i="28"/>
  <c r="D320" i="28"/>
  <c r="D319" i="28"/>
  <c r="D318" i="28"/>
  <c r="D317" i="28"/>
  <c r="D316" i="28"/>
  <c r="D315" i="28"/>
  <c r="D314" i="28"/>
  <c r="D313" i="28"/>
  <c r="D312" i="28"/>
  <c r="D311" i="28"/>
  <c r="D310" i="28"/>
  <c r="D309" i="28"/>
  <c r="D308" i="28"/>
  <c r="D307" i="28"/>
  <c r="D306" i="28"/>
  <c r="D305" i="28"/>
  <c r="D304" i="28"/>
  <c r="D303" i="28"/>
  <c r="D302" i="28"/>
  <c r="D301" i="28"/>
  <c r="D300" i="28"/>
  <c r="D299" i="28"/>
  <c r="D298" i="28"/>
  <c r="D297" i="28"/>
  <c r="D296" i="28"/>
  <c r="D295" i="28"/>
  <c r="D294" i="28"/>
  <c r="D293" i="28"/>
  <c r="D292" i="28"/>
  <c r="D291" i="28"/>
  <c r="D290" i="28"/>
  <c r="D289" i="28"/>
  <c r="D288" i="28"/>
  <c r="D287" i="28"/>
  <c r="D286" i="28"/>
  <c r="D285" i="28"/>
  <c r="D284" i="28"/>
  <c r="D283" i="28"/>
  <c r="D282" i="28"/>
  <c r="D281" i="28"/>
  <c r="D280" i="28"/>
  <c r="D279" i="28"/>
  <c r="D278" i="28"/>
  <c r="D277" i="28"/>
  <c r="D276" i="28"/>
  <c r="D275" i="28"/>
  <c r="D274" i="28"/>
  <c r="D273" i="28"/>
  <c r="D272" i="28"/>
  <c r="D271" i="28"/>
  <c r="D270" i="28"/>
  <c r="D269" i="28"/>
  <c r="D268" i="28"/>
  <c r="D267" i="28"/>
  <c r="D266" i="28"/>
  <c r="D265" i="28"/>
  <c r="D264" i="28"/>
  <c r="D263" i="28"/>
  <c r="D262" i="28"/>
  <c r="D261" i="28"/>
  <c r="D260" i="28"/>
  <c r="D259" i="28"/>
  <c r="D258" i="28"/>
  <c r="D257" i="28"/>
  <c r="D256" i="28"/>
  <c r="B346" i="28"/>
  <c r="B439" i="28" l="1"/>
  <c r="E439" i="28"/>
  <c r="B440" i="28"/>
  <c r="E440" i="28"/>
  <c r="B441" i="28"/>
  <c r="E441" i="28"/>
  <c r="B443" i="28"/>
  <c r="E443" i="28"/>
  <c r="A229" i="28"/>
  <c r="A230" i="28"/>
  <c r="A231" i="28"/>
  <c r="A232" i="28"/>
  <c r="A233" i="28"/>
  <c r="A234" i="28"/>
  <c r="A235" i="28"/>
  <c r="A236" i="28"/>
  <c r="A237" i="28"/>
  <c r="A238" i="28"/>
  <c r="A239" i="28"/>
  <c r="A245" i="28"/>
  <c r="A246" i="28"/>
  <c r="A247" i="28"/>
  <c r="A248" i="28"/>
  <c r="B345" i="28"/>
  <c r="D405" i="28"/>
  <c r="B344" i="28"/>
  <c r="B343" i="28"/>
  <c r="B404" i="28" s="1"/>
  <c r="D403" i="28"/>
  <c r="B342" i="28"/>
  <c r="B403" i="28" s="1"/>
  <c r="B341" i="28"/>
  <c r="B340" i="28"/>
  <c r="B339" i="28"/>
  <c r="D401" i="28"/>
  <c r="B338" i="28"/>
  <c r="B401" i="28" s="1"/>
  <c r="D400" i="28"/>
  <c r="B337" i="28"/>
  <c r="B336" i="28"/>
  <c r="B335" i="28"/>
  <c r="B334" i="28"/>
  <c r="B333" i="28"/>
  <c r="B397" i="28" s="1"/>
  <c r="D396" i="28"/>
  <c r="B332" i="28"/>
  <c r="B396" i="28" s="1"/>
  <c r="B331" i="28"/>
  <c r="B330" i="28"/>
  <c r="B329" i="28"/>
  <c r="D394" i="28"/>
  <c r="B328" i="28"/>
  <c r="D393" i="28"/>
  <c r="B327" i="28"/>
  <c r="B326" i="28"/>
  <c r="B325" i="28"/>
  <c r="B391" i="28" s="1"/>
  <c r="D390" i="28"/>
  <c r="B324" i="28"/>
  <c r="D389" i="28"/>
  <c r="B323" i="28"/>
  <c r="B322" i="28"/>
  <c r="D388" i="28"/>
  <c r="B321" i="28"/>
  <c r="B320" i="28"/>
  <c r="B319" i="28"/>
  <c r="B386" i="28" s="1"/>
  <c r="D385" i="28"/>
  <c r="B318" i="28"/>
  <c r="B317" i="28"/>
  <c r="B384" i="28" s="1"/>
  <c r="B316" i="28"/>
  <c r="B315" i="28"/>
  <c r="B314" i="28"/>
  <c r="B313" i="28"/>
  <c r="B381" i="28" s="1"/>
  <c r="D380" i="28"/>
  <c r="B312" i="28"/>
  <c r="D379" i="28"/>
  <c r="B311" i="28"/>
  <c r="B310" i="28"/>
  <c r="D378" i="28"/>
  <c r="B309" i="28"/>
  <c r="B308" i="28"/>
  <c r="B307" i="28"/>
  <c r="B376" i="28" s="1"/>
  <c r="D375" i="28"/>
  <c r="B306" i="28"/>
  <c r="B305" i="28"/>
  <c r="B304" i="28"/>
  <c r="B303" i="28"/>
  <c r="B374" i="28" s="1"/>
  <c r="D373" i="28"/>
  <c r="B302" i="28"/>
  <c r="B301" i="28"/>
  <c r="B300" i="28"/>
  <c r="B299" i="28"/>
  <c r="B370" i="28" s="1"/>
  <c r="E298" i="28"/>
  <c r="B298" i="28"/>
  <c r="B297" i="28"/>
  <c r="B369" i="28" s="1"/>
  <c r="D368" i="28"/>
  <c r="B296" i="28"/>
  <c r="B368" i="28" s="1"/>
  <c r="D367" i="28"/>
  <c r="B295" i="28"/>
  <c r="B367" i="28" s="1"/>
  <c r="E294" i="28"/>
  <c r="B294" i="28"/>
  <c r="B293" i="28"/>
  <c r="B292" i="28"/>
  <c r="B291" i="28"/>
  <c r="D365" i="28"/>
  <c r="B290" i="28"/>
  <c r="B365" i="28" s="1"/>
  <c r="B289" i="28"/>
  <c r="B288" i="28"/>
  <c r="B364" i="28" s="1"/>
  <c r="D362" i="28"/>
  <c r="B287" i="28"/>
  <c r="E286" i="28"/>
  <c r="E361" i="28" s="1"/>
  <c r="B286" i="28"/>
  <c r="B285" i="28"/>
  <c r="B360" i="28" s="1"/>
  <c r="D363" i="28"/>
  <c r="B284" i="28"/>
  <c r="B363" i="28" s="1"/>
  <c r="B283" i="28"/>
  <c r="B359" i="28" s="1"/>
  <c r="D358" i="28"/>
  <c r="B282" i="28"/>
  <c r="B358" i="28" s="1"/>
  <c r="D357" i="28"/>
  <c r="B281" i="28"/>
  <c r="B280" i="28"/>
  <c r="B279" i="28"/>
  <c r="B355" i="28" s="1"/>
  <c r="E278" i="28"/>
  <c r="B278" i="28"/>
  <c r="B277" i="28"/>
  <c r="B276" i="28"/>
  <c r="B275" i="28"/>
  <c r="B353" i="28" s="1"/>
  <c r="E274" i="28"/>
  <c r="B274" i="28"/>
  <c r="B273" i="28"/>
  <c r="B272" i="28"/>
  <c r="B271" i="28"/>
  <c r="E270" i="28"/>
  <c r="B270" i="28"/>
  <c r="B269" i="28"/>
  <c r="B352" i="28" s="1"/>
  <c r="B268" i="28"/>
  <c r="B267" i="28"/>
  <c r="E266" i="28"/>
  <c r="B266" i="28"/>
  <c r="B265" i="28"/>
  <c r="B264" i="28"/>
  <c r="B263" i="28"/>
  <c r="E262" i="28"/>
  <c r="B262" i="28"/>
  <c r="B261" i="28"/>
  <c r="B260" i="28"/>
  <c r="B259" i="28"/>
  <c r="E258" i="28"/>
  <c r="B258" i="28"/>
  <c r="B257" i="28"/>
  <c r="B256" i="28"/>
  <c r="B351" i="28" l="1"/>
  <c r="D351" i="28"/>
  <c r="C311" i="28"/>
  <c r="E257" i="28"/>
  <c r="E261" i="28"/>
  <c r="E265" i="28"/>
  <c r="E273" i="28"/>
  <c r="E277" i="28"/>
  <c r="E289" i="28"/>
  <c r="E293" i="28"/>
  <c r="E301" i="28"/>
  <c r="E372" i="28" s="1"/>
  <c r="E305" i="28"/>
  <c r="E317" i="28"/>
  <c r="E384" i="28" s="1"/>
  <c r="E259" i="28"/>
  <c r="E263" i="28"/>
  <c r="E267" i="28"/>
  <c r="E271" i="28"/>
  <c r="E315" i="28"/>
  <c r="E339" i="28"/>
  <c r="F441" i="28"/>
  <c r="E256" i="28"/>
  <c r="E260" i="28"/>
  <c r="E264" i="28"/>
  <c r="E268" i="28"/>
  <c r="E272" i="28"/>
  <c r="E276" i="28"/>
  <c r="E354" i="28" s="1"/>
  <c r="E280" i="28"/>
  <c r="E356" i="28" s="1"/>
  <c r="E284" i="28"/>
  <c r="E363" i="28" s="1"/>
  <c r="E288" i="28"/>
  <c r="E292" i="28"/>
  <c r="E300" i="28"/>
  <c r="E371" i="28" s="1"/>
  <c r="E304" i="28"/>
  <c r="E308" i="28"/>
  <c r="E377" i="28" s="1"/>
  <c r="E316" i="28"/>
  <c r="E383" i="28" s="1"/>
  <c r="C268" i="28"/>
  <c r="C272" i="28"/>
  <c r="C257" i="28"/>
  <c r="C261" i="28"/>
  <c r="C293" i="28"/>
  <c r="C440" i="28"/>
  <c r="E282" i="28"/>
  <c r="E358" i="28" s="1"/>
  <c r="E337" i="28"/>
  <c r="E400" i="28" s="1"/>
  <c r="E331" i="28"/>
  <c r="E395" i="28" s="1"/>
  <c r="E335" i="28"/>
  <c r="E399" i="28" s="1"/>
  <c r="C439" i="28"/>
  <c r="E320" i="28"/>
  <c r="E387" i="28" s="1"/>
  <c r="E336" i="28"/>
  <c r="D384" i="28"/>
  <c r="E329" i="28"/>
  <c r="F440" i="28"/>
  <c r="E310" i="28"/>
  <c r="E314" i="28"/>
  <c r="E382" i="28" s="1"/>
  <c r="E341" i="28"/>
  <c r="E402" i="28" s="1"/>
  <c r="E345" i="28"/>
  <c r="E406" i="28" s="1"/>
  <c r="E322" i="28"/>
  <c r="E326" i="28"/>
  <c r="E392" i="28" s="1"/>
  <c r="E330" i="28"/>
  <c r="E334" i="28"/>
  <c r="E398" i="28" s="1"/>
  <c r="C279" i="28"/>
  <c r="C355" i="28" s="1"/>
  <c r="F439" i="28"/>
  <c r="C312" i="28"/>
  <c r="C380" i="28" s="1"/>
  <c r="C340" i="28"/>
  <c r="C267" i="28"/>
  <c r="C441" i="28"/>
  <c r="C271" i="28"/>
  <c r="F271" i="28" s="1"/>
  <c r="C306" i="28"/>
  <c r="C375" i="28" s="1"/>
  <c r="C264" i="28"/>
  <c r="C265" i="28"/>
  <c r="E324" i="28"/>
  <c r="E390" i="28" s="1"/>
  <c r="E442" i="28"/>
  <c r="F442" i="28" s="1"/>
  <c r="C339" i="28"/>
  <c r="D372" i="28"/>
  <c r="E312" i="28"/>
  <c r="E380" i="28" s="1"/>
  <c r="B442" i="28"/>
  <c r="C442" i="28" s="1"/>
  <c r="B375" i="28"/>
  <c r="D361" i="28"/>
  <c r="E328" i="28"/>
  <c r="E394" i="28" s="1"/>
  <c r="C260" i="28"/>
  <c r="C269" i="28"/>
  <c r="C352" i="28" s="1"/>
  <c r="E281" i="28"/>
  <c r="E357" i="28" s="1"/>
  <c r="E287" i="28"/>
  <c r="E362" i="28" s="1"/>
  <c r="E295" i="28"/>
  <c r="E367" i="28" s="1"/>
  <c r="C304" i="28"/>
  <c r="B380" i="28"/>
  <c r="C315" i="28"/>
  <c r="D395" i="28"/>
  <c r="C335" i="28"/>
  <c r="C399" i="28" s="1"/>
  <c r="D406" i="28"/>
  <c r="C258" i="28"/>
  <c r="F258" i="28" s="1"/>
  <c r="C270" i="28"/>
  <c r="F270" i="28" s="1"/>
  <c r="C273" i="28"/>
  <c r="C288" i="28"/>
  <c r="C299" i="28"/>
  <c r="C370" i="28" s="1"/>
  <c r="C302" i="28"/>
  <c r="C373" i="28" s="1"/>
  <c r="C305" i="28"/>
  <c r="C318" i="28"/>
  <c r="C385" i="28" s="1"/>
  <c r="C329" i="28"/>
  <c r="D399" i="28"/>
  <c r="C338" i="28"/>
  <c r="C401" i="28" s="1"/>
  <c r="C277" i="28"/>
  <c r="C291" i="28"/>
  <c r="C294" i="28"/>
  <c r="F294" i="28" s="1"/>
  <c r="B379" i="28"/>
  <c r="C321" i="28"/>
  <c r="C388" i="28" s="1"/>
  <c r="C323" i="28"/>
  <c r="C389" i="28" s="1"/>
  <c r="C336" i="28"/>
  <c r="C259" i="28"/>
  <c r="C262" i="28"/>
  <c r="F262" i="28" s="1"/>
  <c r="C274" i="28"/>
  <c r="F274" i="28" s="1"/>
  <c r="E302" i="28"/>
  <c r="E373" i="28" s="1"/>
  <c r="C309" i="28"/>
  <c r="C313" i="28"/>
  <c r="C381" i="28" s="1"/>
  <c r="E318" i="28"/>
  <c r="E385" i="28" s="1"/>
  <c r="D392" i="28"/>
  <c r="C330" i="28"/>
  <c r="C333" i="28"/>
  <c r="C397" i="28" s="1"/>
  <c r="E338" i="28"/>
  <c r="E401" i="28" s="1"/>
  <c r="C341" i="28"/>
  <c r="C402" i="28" s="1"/>
  <c r="C256" i="28"/>
  <c r="D356" i="28"/>
  <c r="C283" i="28"/>
  <c r="C359" i="28" s="1"/>
  <c r="C289" i="28"/>
  <c r="C292" i="28"/>
  <c r="C297" i="28"/>
  <c r="C369" i="28" s="1"/>
  <c r="C317" i="28"/>
  <c r="C384" i="28" s="1"/>
  <c r="B388" i="28"/>
  <c r="C324" i="28"/>
  <c r="C390" i="28" s="1"/>
  <c r="C327" i="28"/>
  <c r="C393" i="28" s="1"/>
  <c r="C337" i="28"/>
  <c r="C400" i="28" s="1"/>
  <c r="C266" i="28"/>
  <c r="F266" i="28" s="1"/>
  <c r="C278" i="28"/>
  <c r="F278" i="28" s="1"/>
  <c r="C281" i="28"/>
  <c r="C287" i="28"/>
  <c r="C362" i="28" s="1"/>
  <c r="C295" i="28"/>
  <c r="C301" i="28"/>
  <c r="C372" i="28" s="1"/>
  <c r="C303" i="28"/>
  <c r="C374" i="28" s="1"/>
  <c r="C331" i="28"/>
  <c r="C395" i="28" s="1"/>
  <c r="D402" i="28"/>
  <c r="C345" i="28"/>
  <c r="C406" i="28" s="1"/>
  <c r="C263" i="28"/>
  <c r="C275" i="28"/>
  <c r="C353" i="28" s="1"/>
  <c r="C284" i="28"/>
  <c r="C363" i="28" s="1"/>
  <c r="C298" i="28"/>
  <c r="F298" i="28" s="1"/>
  <c r="C310" i="28"/>
  <c r="C319" i="28"/>
  <c r="C386" i="28" s="1"/>
  <c r="C322" i="28"/>
  <c r="C328" i="28"/>
  <c r="C394" i="28" s="1"/>
  <c r="C342" i="28"/>
  <c r="C403" i="28" s="1"/>
  <c r="D364" i="28"/>
  <c r="B385" i="28"/>
  <c r="C332" i="28"/>
  <c r="E340" i="28"/>
  <c r="C290" i="28"/>
  <c r="C296" i="28"/>
  <c r="C368" i="28" s="1"/>
  <c r="B373" i="28"/>
  <c r="C307" i="28"/>
  <c r="C376" i="28" s="1"/>
  <c r="E309" i="28"/>
  <c r="E378" i="28" s="1"/>
  <c r="E311" i="28"/>
  <c r="E379" i="28" s="1"/>
  <c r="E321" i="28"/>
  <c r="E388" i="28" s="1"/>
  <c r="B390" i="28"/>
  <c r="B394" i="28"/>
  <c r="E332" i="28"/>
  <c r="E396" i="28" s="1"/>
  <c r="E342" i="28"/>
  <c r="E403" i="28" s="1"/>
  <c r="C282" i="28"/>
  <c r="C358" i="28" s="1"/>
  <c r="E290" i="28"/>
  <c r="E365" i="28" s="1"/>
  <c r="E296" i="28"/>
  <c r="E368" i="28" s="1"/>
  <c r="B372" i="28"/>
  <c r="E323" i="28"/>
  <c r="E389" i="28" s="1"/>
  <c r="C325" i="28"/>
  <c r="C391" i="28" s="1"/>
  <c r="E327" i="28"/>
  <c r="E393" i="28" s="1"/>
  <c r="C343" i="28"/>
  <c r="C404" i="28" s="1"/>
  <c r="C285" i="28"/>
  <c r="C360" i="28" s="1"/>
  <c r="E306" i="28"/>
  <c r="E375" i="28" s="1"/>
  <c r="D377" i="28"/>
  <c r="E279" i="28"/>
  <c r="D355" i="28"/>
  <c r="E283" i="28"/>
  <c r="D359" i="28"/>
  <c r="C300" i="28"/>
  <c r="B371" i="28"/>
  <c r="E307" i="28"/>
  <c r="D376" i="28"/>
  <c r="C314" i="28"/>
  <c r="B382" i="28"/>
  <c r="E325" i="28"/>
  <c r="D391" i="28"/>
  <c r="C320" i="28"/>
  <c r="B387" i="28"/>
  <c r="B366" i="28"/>
  <c r="E297" i="28"/>
  <c r="E369" i="28" s="1"/>
  <c r="D369" i="28"/>
  <c r="B395" i="28"/>
  <c r="B399" i="28"/>
  <c r="C344" i="28"/>
  <c r="B405" i="28"/>
  <c r="C276" i="28"/>
  <c r="B354" i="28"/>
  <c r="C334" i="28"/>
  <c r="B398" i="28"/>
  <c r="C280" i="28"/>
  <c r="B356" i="28"/>
  <c r="E291" i="28"/>
  <c r="D366" i="28"/>
  <c r="E299" i="28"/>
  <c r="E370" i="28" s="1"/>
  <c r="D370" i="28"/>
  <c r="D371" i="28"/>
  <c r="E303" i="28"/>
  <c r="E374" i="28" s="1"/>
  <c r="D374" i="28"/>
  <c r="C308" i="28"/>
  <c r="B377" i="28"/>
  <c r="C379" i="28"/>
  <c r="E313" i="28"/>
  <c r="E381" i="28" s="1"/>
  <c r="D381" i="28"/>
  <c r="D382" i="28"/>
  <c r="C326" i="28"/>
  <c r="B392" i="28"/>
  <c r="B402" i="28"/>
  <c r="E344" i="28"/>
  <c r="E405" i="28" s="1"/>
  <c r="B406" i="28"/>
  <c r="E269" i="28"/>
  <c r="E352" i="28" s="1"/>
  <c r="D352" i="28"/>
  <c r="B357" i="28"/>
  <c r="C286" i="28"/>
  <c r="B361" i="28"/>
  <c r="B378" i="28"/>
  <c r="D383" i="28"/>
  <c r="E319" i="28"/>
  <c r="E386" i="28" s="1"/>
  <c r="D386" i="28"/>
  <c r="D387" i="28"/>
  <c r="B389" i="28"/>
  <c r="B393" i="28"/>
  <c r="E285" i="28"/>
  <c r="E360" i="28" s="1"/>
  <c r="D360" i="28"/>
  <c r="E275" i="28"/>
  <c r="D353" i="28"/>
  <c r="D354" i="28"/>
  <c r="B362" i="28"/>
  <c r="E333" i="28"/>
  <c r="D397" i="28"/>
  <c r="D398" i="28"/>
  <c r="B400" i="28"/>
  <c r="C316" i="28"/>
  <c r="B383" i="28"/>
  <c r="E343" i="28"/>
  <c r="D404" i="28"/>
  <c r="C351" i="28" l="1"/>
  <c r="E351" i="28"/>
  <c r="G441" i="28"/>
  <c r="F261" i="28"/>
  <c r="F311" i="28"/>
  <c r="F265" i="28"/>
  <c r="F288" i="28"/>
  <c r="F292" i="28"/>
  <c r="F259" i="28"/>
  <c r="F257" i="28"/>
  <c r="F289" i="28"/>
  <c r="F305" i="28"/>
  <c r="F339" i="28"/>
  <c r="F267" i="28"/>
  <c r="F264" i="28"/>
  <c r="F273" i="28"/>
  <c r="F304" i="28"/>
  <c r="F268" i="28"/>
  <c r="F293" i="28"/>
  <c r="F315" i="28"/>
  <c r="E366" i="28"/>
  <c r="F277" i="28"/>
  <c r="F272" i="28"/>
  <c r="E364" i="28"/>
  <c r="D441" i="28"/>
  <c r="F263" i="28"/>
  <c r="F301" i="28"/>
  <c r="F310" i="28"/>
  <c r="F331" i="28"/>
  <c r="F322" i="28"/>
  <c r="F336" i="28"/>
  <c r="F256" i="28"/>
  <c r="G440" i="28"/>
  <c r="F284" i="28"/>
  <c r="F295" i="28"/>
  <c r="F260" i="28"/>
  <c r="D440" i="28"/>
  <c r="F330" i="28"/>
  <c r="F317" i="28"/>
  <c r="F341" i="28"/>
  <c r="F309" i="28"/>
  <c r="C378" i="28"/>
  <c r="F337" i="28"/>
  <c r="F329" i="28"/>
  <c r="F335" i="28"/>
  <c r="C367" i="28"/>
  <c r="F281" i="28"/>
  <c r="F291" i="28"/>
  <c r="F340" i="28"/>
  <c r="F324" i="28"/>
  <c r="F302" i="28"/>
  <c r="F338" i="28"/>
  <c r="F328" i="28"/>
  <c r="F345" i="28"/>
  <c r="F297" i="28"/>
  <c r="C366" i="28"/>
  <c r="F312" i="28"/>
  <c r="F306" i="28"/>
  <c r="F318" i="28"/>
  <c r="F327" i="28"/>
  <c r="F342" i="28"/>
  <c r="F287" i="28"/>
  <c r="F313" i="28"/>
  <c r="C357" i="28"/>
  <c r="F282" i="28"/>
  <c r="F296" i="28"/>
  <c r="C364" i="28"/>
  <c r="F323" i="28"/>
  <c r="F319" i="28"/>
  <c r="F321" i="28"/>
  <c r="C396" i="28"/>
  <c r="F332" i="28"/>
  <c r="C365" i="28"/>
  <c r="F290" i="28"/>
  <c r="F307" i="28"/>
  <c r="E376" i="28"/>
  <c r="F286" i="28"/>
  <c r="C361" i="28"/>
  <c r="F276" i="28"/>
  <c r="C354" i="28"/>
  <c r="F316" i="28"/>
  <c r="C383" i="28"/>
  <c r="F333" i="28"/>
  <c r="E397" i="28"/>
  <c r="F303" i="28"/>
  <c r="F280" i="28"/>
  <c r="C356" i="28"/>
  <c r="F300" i="28"/>
  <c r="C371" i="28"/>
  <c r="F279" i="28"/>
  <c r="E355" i="28"/>
  <c r="F320" i="28"/>
  <c r="C387" i="28"/>
  <c r="F325" i="28"/>
  <c r="E391" i="28"/>
  <c r="F269" i="28"/>
  <c r="E404" i="28"/>
  <c r="F343" i="28"/>
  <c r="F275" i="28"/>
  <c r="E353" i="28"/>
  <c r="F308" i="28"/>
  <c r="C377" i="28"/>
  <c r="F283" i="28"/>
  <c r="E359" i="28"/>
  <c r="F299" i="28"/>
  <c r="F326" i="28"/>
  <c r="C392" i="28"/>
  <c r="F334" i="28"/>
  <c r="C398" i="28"/>
  <c r="F344" i="28"/>
  <c r="C405" i="28"/>
  <c r="F314" i="28"/>
  <c r="C382" i="28"/>
  <c r="F285" i="28"/>
  <c r="A424" i="28" l="1"/>
  <c r="A416" i="28"/>
  <c r="A423" i="28"/>
  <c r="A415" i="28"/>
  <c r="A418" i="28"/>
  <c r="A409" i="28"/>
  <c r="A422" i="28"/>
  <c r="A414" i="28"/>
  <c r="A410" i="28"/>
  <c r="A421" i="28"/>
  <c r="A413" i="28"/>
  <c r="A426" i="28"/>
  <c r="A417" i="28"/>
  <c r="A428" i="28"/>
  <c r="A420" i="28"/>
  <c r="A412" i="28"/>
  <c r="A425" i="28"/>
  <c r="A427" i="28"/>
  <c r="A419" i="28"/>
  <c r="A411" i="28"/>
  <c r="B424" i="28" l="1"/>
  <c r="B412" i="28"/>
  <c r="B414" i="28"/>
  <c r="B426" i="28"/>
  <c r="B410" i="28"/>
  <c r="B420" i="28"/>
  <c r="B422" i="28"/>
  <c r="B411" i="28"/>
  <c r="B428" i="28"/>
  <c r="B409" i="28"/>
  <c r="B425" i="28"/>
  <c r="B417" i="28"/>
  <c r="B418" i="28"/>
  <c r="B415" i="28"/>
  <c r="B419" i="28"/>
  <c r="B413" i="28"/>
  <c r="B423" i="28"/>
  <c r="B427" i="28"/>
  <c r="B421" i="28"/>
  <c r="B416" i="28"/>
  <c r="A431" i="28" l="1"/>
  <c r="C153" i="28" l="1"/>
  <c r="B151" i="28"/>
  <c r="C150" i="28" l="1"/>
  <c r="C152" i="28"/>
  <c r="B152" i="28"/>
  <c r="B150" i="28" l="1"/>
  <c r="B153" i="28"/>
  <c r="C151" i="28"/>
  <c r="D189" i="28" l="1"/>
  <c r="D188" i="28"/>
  <c r="D187" i="28"/>
  <c r="D186" i="28"/>
  <c r="D185" i="28"/>
  <c r="B189" i="28"/>
  <c r="B188" i="28"/>
  <c r="B187" i="28"/>
  <c r="B186" i="28"/>
  <c r="B185" i="28"/>
  <c r="B184" i="28" l="1"/>
  <c r="B198" i="28" s="1"/>
  <c r="B199" i="28"/>
  <c r="B200" i="28"/>
  <c r="D184" i="28"/>
  <c r="B183" i="28"/>
  <c r="D183" i="28"/>
  <c r="D200" i="28"/>
  <c r="B191" i="28"/>
  <c r="C185" i="28" s="1"/>
  <c r="C199" i="28" s="1"/>
  <c r="B201" i="28"/>
  <c r="D201" i="28"/>
  <c r="D191" i="28"/>
  <c r="E187" i="28" s="1"/>
  <c r="E201" i="28" s="1"/>
  <c r="B182" i="28"/>
  <c r="B202" i="28"/>
  <c r="D182" i="28"/>
  <c r="D202" i="28"/>
  <c r="B203" i="28"/>
  <c r="D203" i="28"/>
  <c r="D199" i="28"/>
  <c r="B143" i="28"/>
  <c r="B145" i="28"/>
  <c r="B147" i="28"/>
  <c r="B146" i="28"/>
  <c r="C147" i="28"/>
  <c r="C143" i="28"/>
  <c r="C145" i="28"/>
  <c r="C146" i="28"/>
  <c r="C144" i="28"/>
  <c r="B144" i="28" l="1"/>
  <c r="E189" i="28"/>
  <c r="E203" i="28" s="1"/>
  <c r="B190" i="28"/>
  <c r="C190" i="28" s="1"/>
  <c r="C189" i="28"/>
  <c r="C203" i="28" s="1"/>
  <c r="C187" i="28"/>
  <c r="C201" i="28" s="1"/>
  <c r="E185" i="28"/>
  <c r="E199" i="28" s="1"/>
  <c r="E188" i="28"/>
  <c r="E202" i="28" s="1"/>
  <c r="B197" i="28"/>
  <c r="C183" i="28"/>
  <c r="C197" i="28" s="1"/>
  <c r="D196" i="28"/>
  <c r="E182" i="28"/>
  <c r="E196" i="28" s="1"/>
  <c r="D198" i="28"/>
  <c r="E184" i="28"/>
  <c r="E198" i="28" s="1"/>
  <c r="C188" i="28"/>
  <c r="C202" i="28" s="1"/>
  <c r="C184" i="28"/>
  <c r="C198" i="28" s="1"/>
  <c r="B196" i="28"/>
  <c r="C182" i="28"/>
  <c r="C196" i="28" s="1"/>
  <c r="C186" i="28"/>
  <c r="C200" i="28" s="1"/>
  <c r="D190" i="28"/>
  <c r="E190" i="28" s="1"/>
  <c r="E186" i="28"/>
  <c r="E200" i="28" s="1"/>
  <c r="A475" i="28"/>
  <c r="A470" i="28"/>
  <c r="A466" i="28"/>
  <c r="A474" i="28"/>
  <c r="A471" i="28"/>
  <c r="A467" i="28"/>
  <c r="A472" i="28"/>
  <c r="A469" i="28"/>
  <c r="A473" i="28"/>
  <c r="A468" i="28"/>
  <c r="D197" i="28"/>
  <c r="E183" i="28"/>
  <c r="E197" i="28" s="1"/>
  <c r="B445" i="28"/>
  <c r="D445" i="28" s="1"/>
  <c r="B444" i="28"/>
  <c r="D442" i="28" s="1"/>
  <c r="D468" i="28" l="1"/>
  <c r="B468" i="28"/>
  <c r="E468" i="28"/>
  <c r="C468" i="28"/>
  <c r="D470" i="28"/>
  <c r="E470" i="28"/>
  <c r="B470" i="28"/>
  <c r="C470" i="28"/>
  <c r="E473" i="28"/>
  <c r="C473" i="28"/>
  <c r="D473" i="28"/>
  <c r="B473" i="28"/>
  <c r="E475" i="28"/>
  <c r="D475" i="28"/>
  <c r="B475" i="28"/>
  <c r="C475" i="28"/>
  <c r="E469" i="28"/>
  <c r="D469" i="28"/>
  <c r="C469" i="28"/>
  <c r="B469" i="28"/>
  <c r="D472" i="28"/>
  <c r="E472" i="28"/>
  <c r="B472" i="28"/>
  <c r="C472" i="28"/>
  <c r="E467" i="28"/>
  <c r="B467" i="28"/>
  <c r="C467" i="28"/>
  <c r="D467" i="28"/>
  <c r="D471" i="28"/>
  <c r="E471" i="28"/>
  <c r="C471" i="28"/>
  <c r="B471" i="28"/>
  <c r="A210" i="28"/>
  <c r="A208" i="28"/>
  <c r="A209" i="28"/>
  <c r="B474" i="28"/>
  <c r="D474" i="28"/>
  <c r="C474" i="28"/>
  <c r="E474" i="28"/>
  <c r="B466" i="28"/>
  <c r="C466" i="28"/>
  <c r="D466" i="28"/>
  <c r="E466" i="28"/>
  <c r="B210" i="28" l="1"/>
  <c r="D210" i="28"/>
  <c r="E210" i="28"/>
  <c r="C210" i="28"/>
  <c r="B208" i="28"/>
  <c r="C208" i="28"/>
  <c r="D208" i="28"/>
  <c r="E208" i="28"/>
  <c r="C209" i="28"/>
  <c r="B209" i="28"/>
  <c r="E209" i="28"/>
  <c r="D209" i="28"/>
  <c r="D55" i="28"/>
  <c r="C174" i="28" l="1"/>
  <c r="C248" i="28"/>
  <c r="C239" i="28"/>
  <c r="B240" i="28"/>
  <c r="B239" i="28"/>
  <c r="B224" i="28"/>
  <c r="C223" i="28"/>
  <c r="B248" i="28"/>
  <c r="B223" i="28"/>
  <c r="C224" i="28"/>
  <c r="C240" i="28"/>
  <c r="C249" i="28"/>
  <c r="B171" i="28"/>
  <c r="B245" i="28"/>
  <c r="B249" i="28"/>
  <c r="B236" i="28"/>
  <c r="B232" i="28"/>
  <c r="B221" i="28"/>
  <c r="C235" i="28"/>
  <c r="C220" i="28"/>
  <c r="B175" i="28"/>
  <c r="B238" i="28"/>
  <c r="B173" i="28"/>
  <c r="B247" i="28"/>
  <c r="B217" i="28"/>
  <c r="C231" i="28"/>
  <c r="C216" i="28"/>
  <c r="B174" i="28"/>
  <c r="B170" i="28"/>
  <c r="B235" i="28"/>
  <c r="B231" i="28"/>
  <c r="B220" i="28"/>
  <c r="B216" i="28"/>
  <c r="C170" i="28"/>
  <c r="C173" i="28"/>
  <c r="C169" i="28"/>
  <c r="C247" i="28"/>
  <c r="C238" i="28"/>
  <c r="C234" i="28"/>
  <c r="C230" i="28"/>
  <c r="C219" i="28"/>
  <c r="B169" i="28"/>
  <c r="B234" i="28"/>
  <c r="C237" i="28"/>
  <c r="C229" i="28"/>
  <c r="C218" i="28"/>
  <c r="B172" i="28"/>
  <c r="B246" i="28"/>
  <c r="B237" i="28"/>
  <c r="B233" i="28"/>
  <c r="B229" i="28"/>
  <c r="B222" i="28"/>
  <c r="B218" i="28"/>
  <c r="B230" i="28"/>
  <c r="B219" i="28"/>
  <c r="C172" i="28"/>
  <c r="C246" i="28"/>
  <c r="C233" i="28"/>
  <c r="C222" i="28"/>
  <c r="C175" i="28"/>
  <c r="C171" i="28"/>
  <c r="C245" i="28"/>
  <c r="C236" i="28"/>
  <c r="C232" i="28"/>
  <c r="C221" i="28"/>
  <c r="C217" i="28"/>
  <c r="C176" i="28"/>
  <c r="B176" i="28"/>
  <c r="D171" i="28" l="1"/>
  <c r="D174" i="28"/>
  <c r="D175" i="28"/>
  <c r="D173" i="28"/>
  <c r="D169" i="28"/>
  <c r="D170" i="28"/>
  <c r="D172" i="28"/>
  <c r="C163" i="28"/>
  <c r="C162" i="28"/>
  <c r="C161" i="28"/>
  <c r="C157" i="28"/>
  <c r="C156" i="28"/>
  <c r="C160" i="28"/>
  <c r="C159" i="28"/>
  <c r="C158" i="28"/>
  <c r="B163" i="28"/>
  <c r="B162" i="28"/>
  <c r="B161" i="28"/>
  <c r="B157" i="28"/>
  <c r="B160" i="28"/>
  <c r="B159" i="28"/>
  <c r="B158" i="28"/>
  <c r="B156" i="28" l="1"/>
  <c r="D458" i="28" l="1"/>
  <c r="D457" i="28"/>
  <c r="D456" i="28"/>
  <c r="D455" i="28"/>
  <c r="D454" i="28"/>
  <c r="D453" i="28"/>
  <c r="D452" i="28"/>
  <c r="D72" i="28"/>
  <c r="D71" i="28"/>
  <c r="D70" i="28"/>
  <c r="D69" i="28"/>
  <c r="D68" i="28"/>
  <c r="D67" i="28"/>
  <c r="D66" i="28"/>
  <c r="D65" i="28"/>
  <c r="D64" i="28"/>
  <c r="D63" i="28"/>
  <c r="D62" i="28"/>
  <c r="D61" i="28"/>
  <c r="D60" i="28"/>
  <c r="D59" i="28"/>
  <c r="D58" i="28"/>
  <c r="D57" i="28"/>
  <c r="D56" i="28"/>
  <c r="D459" i="28" l="1"/>
  <c r="E55" i="28" l="1"/>
  <c r="C116" i="28"/>
  <c r="C134" i="28"/>
  <c r="E67" i="28" l="1"/>
  <c r="C128" i="28"/>
  <c r="E58" i="28"/>
  <c r="C119" i="28"/>
  <c r="E69" i="28"/>
  <c r="C130" i="28"/>
  <c r="E56" i="28"/>
  <c r="C117" i="28"/>
  <c r="E70" i="28"/>
  <c r="C131" i="28"/>
  <c r="E60" i="28"/>
  <c r="C121" i="28"/>
  <c r="E64" i="28"/>
  <c r="C125" i="28"/>
  <c r="E61" i="28"/>
  <c r="C122" i="28"/>
  <c r="E66" i="28"/>
  <c r="C127" i="28"/>
  <c r="E62" i="28"/>
  <c r="C123" i="28"/>
  <c r="E57" i="28"/>
  <c r="C118" i="28"/>
  <c r="E68" i="28"/>
  <c r="C129" i="28"/>
  <c r="E72" i="28"/>
  <c r="C133" i="28"/>
  <c r="E71" i="28"/>
  <c r="C132" i="28"/>
  <c r="E59" i="28"/>
  <c r="C120" i="28"/>
  <c r="E65" i="28"/>
  <c r="C126" i="28"/>
  <c r="E63" i="28"/>
  <c r="C124" i="28"/>
  <c r="B458" i="28" l="1"/>
  <c r="B457" i="28"/>
  <c r="B456" i="28"/>
  <c r="B455" i="28"/>
  <c r="B454" i="28"/>
  <c r="B453" i="28"/>
  <c r="B452" i="28"/>
  <c r="B55" i="28"/>
  <c r="B72" i="28"/>
  <c r="B71" i="28"/>
  <c r="B70" i="28"/>
  <c r="B69" i="28"/>
  <c r="B68" i="28"/>
  <c r="B67" i="28"/>
  <c r="B66" i="28"/>
  <c r="B65" i="28"/>
  <c r="B64" i="28"/>
  <c r="B63" i="28"/>
  <c r="B62" i="28"/>
  <c r="B61" i="28"/>
  <c r="B60" i="28"/>
  <c r="B59" i="28"/>
  <c r="B58" i="28"/>
  <c r="B57" i="28"/>
  <c r="B56" i="28"/>
  <c r="B459" i="28" l="1"/>
  <c r="C62" i="28" l="1"/>
  <c r="B123" i="28"/>
  <c r="B134" i="28"/>
  <c r="B139" i="28"/>
  <c r="C67" i="28" l="1"/>
  <c r="B128" i="28"/>
  <c r="C71" i="28"/>
  <c r="B132" i="28"/>
  <c r="C58" i="28"/>
  <c r="B119" i="28"/>
  <c r="C55" i="28"/>
  <c r="B116" i="28"/>
  <c r="C68" i="28"/>
  <c r="B129" i="28"/>
  <c r="C64" i="28"/>
  <c r="B125" i="28"/>
  <c r="C57" i="28"/>
  <c r="B118" i="28"/>
  <c r="C69" i="28"/>
  <c r="B130" i="28"/>
  <c r="C65" i="28"/>
  <c r="B126" i="28"/>
  <c r="C56" i="28"/>
  <c r="B117" i="28"/>
  <c r="C70" i="28"/>
  <c r="B131" i="28"/>
  <c r="C66" i="28"/>
  <c r="B127" i="28"/>
  <c r="C72" i="28"/>
  <c r="B133" i="28"/>
  <c r="C61" i="28"/>
  <c r="B122" i="28"/>
  <c r="C63" i="28"/>
  <c r="B124" i="28"/>
  <c r="C59" i="28"/>
  <c r="B120" i="28"/>
  <c r="C60" i="28"/>
  <c r="B121" i="28"/>
  <c r="A83" i="28" l="1"/>
  <c r="D83" i="28" s="1"/>
  <c r="A79" i="28"/>
  <c r="D79" i="28" s="1"/>
  <c r="A81" i="28"/>
  <c r="E81" i="28" s="1"/>
  <c r="A82" i="28"/>
  <c r="E82" i="28" s="1"/>
  <c r="A80" i="28"/>
  <c r="E80" i="28" s="1"/>
  <c r="B83" i="28" l="1"/>
  <c r="E83" i="28"/>
  <c r="C83" i="28"/>
  <c r="C79" i="28"/>
  <c r="C81" i="28"/>
  <c r="D81" i="28"/>
  <c r="B81" i="28"/>
  <c r="B79" i="28"/>
  <c r="E79" i="28"/>
  <c r="B82" i="28"/>
  <c r="D82" i="28"/>
  <c r="C82" i="28"/>
  <c r="D80" i="28"/>
  <c r="C80" i="28"/>
  <c r="B80" i="28"/>
  <c r="C139" i="28" l="1"/>
  <c r="F72" i="28"/>
  <c r="F69" i="28"/>
  <c r="F70" i="28"/>
  <c r="F58" i="28"/>
  <c r="F56" i="28"/>
  <c r="F67" i="28"/>
  <c r="F68" i="28"/>
  <c r="F62" i="28"/>
  <c r="F61" i="28"/>
  <c r="F57" i="28"/>
  <c r="F66" i="28"/>
  <c r="F60" i="28"/>
  <c r="F59" i="28"/>
  <c r="F65" i="28"/>
  <c r="F71" i="28"/>
  <c r="F55" i="28"/>
  <c r="F63" i="28"/>
  <c r="F64" i="28"/>
  <c r="C110" i="28" l="1"/>
  <c r="C102" i="28"/>
  <c r="E458" i="28"/>
  <c r="B110" i="28"/>
  <c r="C93" i="28"/>
  <c r="B98" i="28"/>
  <c r="E456" i="28"/>
  <c r="C138" i="28"/>
  <c r="C112" i="28"/>
  <c r="C92" i="28"/>
  <c r="E454" i="28"/>
  <c r="C137" i="28"/>
  <c r="C113" i="28"/>
  <c r="C105" i="28"/>
  <c r="C101" i="28"/>
  <c r="C90" i="28"/>
  <c r="E452" i="28"/>
  <c r="C96" i="28"/>
  <c r="C106" i="28"/>
  <c r="B140" i="28"/>
  <c r="C97" i="28"/>
  <c r="C91" i="28"/>
  <c r="C89" i="28"/>
  <c r="B93" i="28"/>
  <c r="C104" i="28"/>
  <c r="B95" i="28"/>
  <c r="B103" i="28"/>
  <c r="C95" i="28"/>
  <c r="B102" i="28"/>
  <c r="B105" i="28"/>
  <c r="C100" i="28"/>
  <c r="C98" i="28"/>
  <c r="B99" i="28"/>
  <c r="C99" i="28"/>
  <c r="C94" i="28"/>
  <c r="B106" i="28"/>
  <c r="B111" i="28"/>
  <c r="B92" i="28"/>
  <c r="B113" i="28"/>
  <c r="C453" i="28"/>
  <c r="C103" i="28"/>
  <c r="B94" i="28"/>
  <c r="B100" i="28"/>
  <c r="B91" i="28"/>
  <c r="C455" i="28"/>
  <c r="C458" i="28"/>
  <c r="C452" i="28"/>
  <c r="E457" i="28"/>
  <c r="E455" i="28"/>
  <c r="E453" i="28"/>
  <c r="B104" i="28"/>
  <c r="B101" i="28"/>
  <c r="B97" i="28"/>
  <c r="B138" i="28"/>
  <c r="C140" i="28"/>
  <c r="C111" i="28"/>
  <c r="C109" i="28"/>
  <c r="B109" i="28"/>
  <c r="B96" i="28"/>
  <c r="B90" i="28"/>
  <c r="B89" i="28"/>
  <c r="C454" i="28"/>
  <c r="C456" i="28"/>
  <c r="B112" i="28"/>
  <c r="B137" i="28" l="1"/>
  <c r="C457" i="28"/>
  <c r="I14" i="28"/>
  <c r="I16" i="28"/>
  <c r="I21" i="28"/>
  <c r="I11" i="28"/>
  <c r="I17" i="28"/>
  <c r="I20" i="28"/>
  <c r="I12" i="28"/>
  <c r="I18" i="28"/>
  <c r="I15" i="28"/>
  <c r="I19" i="28"/>
  <c r="I13" i="28"/>
  <c r="Q21" i="28"/>
  <c r="Q20" i="28"/>
  <c r="Q19" i="28"/>
  <c r="E15" i="28"/>
  <c r="E11" i="28"/>
  <c r="E8" i="28"/>
  <c r="E13" i="28"/>
  <c r="E9" i="28"/>
  <c r="E18" i="28"/>
  <c r="E19" i="28"/>
  <c r="E17" i="28"/>
  <c r="E20" i="28"/>
  <c r="E12" i="28"/>
  <c r="E7" i="28"/>
  <c r="E14" i="28"/>
  <c r="E16" i="28"/>
  <c r="E21" i="28"/>
  <c r="E10" i="28"/>
  <c r="R20" i="28"/>
  <c r="R21" i="28"/>
  <c r="K18" i="28"/>
  <c r="K19" i="28"/>
  <c r="K17" i="28"/>
  <c r="K20" i="28"/>
  <c r="K14" i="28"/>
  <c r="K16" i="28"/>
  <c r="K21" i="28"/>
  <c r="K15" i="28"/>
  <c r="K13" i="28"/>
  <c r="G10" i="28"/>
  <c r="G11" i="28"/>
  <c r="G9" i="28"/>
  <c r="G12" i="28"/>
  <c r="G15" i="28"/>
  <c r="G13" i="28"/>
  <c r="G21" i="28"/>
  <c r="G18" i="28"/>
  <c r="G19" i="28"/>
  <c r="G16" i="28"/>
  <c r="G17" i="28"/>
  <c r="G20" i="28"/>
  <c r="G14" i="28"/>
  <c r="O21" i="28"/>
  <c r="O18" i="28"/>
  <c r="O19" i="28"/>
  <c r="O17" i="28"/>
  <c r="O20" i="28"/>
  <c r="L15" i="28"/>
  <c r="L18" i="28"/>
  <c r="L19" i="28"/>
  <c r="L17" i="28"/>
  <c r="L20" i="28"/>
  <c r="L14" i="28"/>
  <c r="L16" i="28"/>
  <c r="L21" i="28"/>
  <c r="N16" i="28"/>
  <c r="N21" i="28"/>
  <c r="N18" i="28"/>
  <c r="N19" i="28"/>
  <c r="N17" i="28"/>
  <c r="N20" i="28"/>
  <c r="S21" i="28"/>
  <c r="B4" i="28"/>
  <c r="B17" i="28"/>
  <c r="B20" i="28"/>
  <c r="B7" i="28"/>
  <c r="B14" i="28"/>
  <c r="B5" i="28"/>
  <c r="B16" i="28"/>
  <c r="B21" i="28"/>
  <c r="B10" i="28"/>
  <c r="B11" i="28"/>
  <c r="B8" i="28"/>
  <c r="B19" i="28"/>
  <c r="B9" i="28"/>
  <c r="B12" i="28"/>
  <c r="B13" i="28"/>
  <c r="B6" i="28"/>
  <c r="B15" i="28"/>
  <c r="B18" i="28"/>
  <c r="D8" i="28"/>
  <c r="D13" i="28"/>
  <c r="D18" i="28"/>
  <c r="D19" i="28"/>
  <c r="D15" i="28"/>
  <c r="D17" i="28"/>
  <c r="D20" i="28"/>
  <c r="D6" i="28"/>
  <c r="D7" i="28"/>
  <c r="D14" i="28"/>
  <c r="D12" i="28"/>
  <c r="D16" i="28"/>
  <c r="D21" i="28"/>
  <c r="D9" i="28"/>
  <c r="D10" i="28"/>
  <c r="D11" i="28"/>
  <c r="C18" i="28"/>
  <c r="C19" i="28"/>
  <c r="C6" i="28"/>
  <c r="C17" i="28"/>
  <c r="C20" i="28"/>
  <c r="C15" i="28"/>
  <c r="C13" i="28"/>
  <c r="C7" i="28"/>
  <c r="C14" i="28"/>
  <c r="C5" i="28"/>
  <c r="C16" i="28"/>
  <c r="C21" i="28"/>
  <c r="C8" i="28"/>
  <c r="C10" i="28"/>
  <c r="C11" i="28"/>
  <c r="C9" i="28"/>
  <c r="C12" i="28"/>
  <c r="J17" i="28"/>
  <c r="J20" i="28"/>
  <c r="J13" i="28"/>
  <c r="J19" i="28"/>
  <c r="J14" i="28"/>
  <c r="J18" i="28"/>
  <c r="J16" i="28"/>
  <c r="J21" i="28"/>
  <c r="J12" i="28"/>
  <c r="J15" i="28"/>
  <c r="M15" i="28"/>
  <c r="M18" i="28"/>
  <c r="M19" i="28"/>
  <c r="M17" i="28"/>
  <c r="M20" i="28"/>
  <c r="M16" i="28"/>
  <c r="M21" i="28"/>
  <c r="P21" i="28"/>
  <c r="P18" i="28"/>
  <c r="P19" i="28"/>
  <c r="P20" i="28"/>
  <c r="H16" i="28"/>
  <c r="H21" i="28"/>
  <c r="H10" i="28"/>
  <c r="H11" i="28"/>
  <c r="H20" i="28"/>
  <c r="H12" i="28"/>
  <c r="H17" i="28"/>
  <c r="H14" i="28"/>
  <c r="H15" i="28"/>
  <c r="H13" i="28"/>
  <c r="H18" i="28"/>
  <c r="H19" i="28"/>
  <c r="F9" i="28"/>
  <c r="F12" i="28"/>
  <c r="F15" i="28"/>
  <c r="F8" i="28"/>
  <c r="F13" i="28"/>
  <c r="F21" i="28"/>
  <c r="F11" i="28"/>
  <c r="F18" i="28"/>
  <c r="F19" i="28"/>
  <c r="F17" i="28"/>
  <c r="F20" i="28"/>
  <c r="F16" i="28"/>
  <c r="F14" i="28"/>
  <c r="F10" i="28"/>
  <c r="F37" i="28" l="1"/>
  <c r="F29" i="28"/>
  <c r="H35" i="28"/>
  <c r="H37" i="28"/>
  <c r="C30" i="28"/>
  <c r="B30" i="28"/>
  <c r="O38" i="28"/>
  <c r="G30" i="28"/>
  <c r="K35" i="28"/>
  <c r="E31" i="28"/>
  <c r="Q40" i="28"/>
  <c r="I33" i="28"/>
  <c r="M38" i="28"/>
  <c r="C28" i="28"/>
  <c r="B35" i="28"/>
  <c r="G37" i="28"/>
  <c r="E40" i="28"/>
  <c r="F40" i="28"/>
  <c r="F30" i="28"/>
  <c r="P40" i="28"/>
  <c r="M40" i="28"/>
  <c r="J39" i="28"/>
  <c r="C32" i="28"/>
  <c r="C34" i="28"/>
  <c r="D32" i="28"/>
  <c r="D28" i="28"/>
  <c r="D29" i="28"/>
  <c r="B40" i="28"/>
  <c r="B28" i="28"/>
  <c r="N40" i="28"/>
  <c r="L41" i="28"/>
  <c r="O40" i="28"/>
  <c r="G40" i="28"/>
  <c r="G32" i="28"/>
  <c r="K41" i="28"/>
  <c r="E42" i="28"/>
  <c r="E39" i="28"/>
  <c r="Q41" i="28"/>
  <c r="I41" i="28"/>
  <c r="F33" i="28"/>
  <c r="D34" i="28"/>
  <c r="F39" i="28"/>
  <c r="H40" i="28"/>
  <c r="H41" i="28"/>
  <c r="P39" i="28"/>
  <c r="M39" i="28"/>
  <c r="J35" i="28"/>
  <c r="C31" i="28"/>
  <c r="C36" i="28"/>
  <c r="D31" i="28"/>
  <c r="D27" i="28"/>
  <c r="B39" i="28"/>
  <c r="B29" i="28"/>
  <c r="B41" i="28"/>
  <c r="N39" i="28"/>
  <c r="L38" i="28"/>
  <c r="O39" i="28"/>
  <c r="G39" i="28"/>
  <c r="G31" i="28"/>
  <c r="K38" i="28"/>
  <c r="E37" i="28"/>
  <c r="E30" i="28"/>
  <c r="Q42" i="28"/>
  <c r="I38" i="28"/>
  <c r="H33" i="28"/>
  <c r="C39" i="28"/>
  <c r="L35" i="28"/>
  <c r="H39" i="28"/>
  <c r="M36" i="28"/>
  <c r="C41" i="28"/>
  <c r="D30" i="28"/>
  <c r="B32" i="28"/>
  <c r="B38" i="28"/>
  <c r="L40" i="28"/>
  <c r="G42" i="28"/>
  <c r="K34" i="28"/>
  <c r="K40" i="28"/>
  <c r="E35" i="28"/>
  <c r="E34" i="28"/>
  <c r="I32" i="28"/>
  <c r="F32" i="28"/>
  <c r="H32" i="28"/>
  <c r="J40" i="28"/>
  <c r="C29" i="28"/>
  <c r="D41" i="28"/>
  <c r="F35" i="28"/>
  <c r="F42" i="28"/>
  <c r="H34" i="28"/>
  <c r="H31" i="28"/>
  <c r="M42" i="28"/>
  <c r="J36" i="28"/>
  <c r="J34" i="28"/>
  <c r="C42" i="28"/>
  <c r="C38" i="28"/>
  <c r="D42" i="28"/>
  <c r="D38" i="28"/>
  <c r="B36" i="28"/>
  <c r="B31" i="28"/>
  <c r="K26" i="28"/>
  <c r="N30" i="28"/>
  <c r="J25" i="28"/>
  <c r="J28" i="28"/>
  <c r="M35" i="28"/>
  <c r="M31" i="28"/>
  <c r="S38" i="28"/>
  <c r="S35" i="28"/>
  <c r="K31" i="28"/>
  <c r="S27" i="28"/>
  <c r="F26" i="28"/>
  <c r="N26" i="28"/>
  <c r="G28" i="28"/>
  <c r="N25" i="28"/>
  <c r="N31" i="28"/>
  <c r="F27" i="28"/>
  <c r="P37" i="28"/>
  <c r="O31" i="28"/>
  <c r="S36" i="28"/>
  <c r="J27" i="28"/>
  <c r="P38" i="28"/>
  <c r="N27" i="28"/>
  <c r="P36" i="28"/>
  <c r="S39" i="28"/>
  <c r="P26" i="28"/>
  <c r="Q37" i="28"/>
  <c r="R38" i="28"/>
  <c r="M27" i="28"/>
  <c r="K27" i="28"/>
  <c r="H25" i="28"/>
  <c r="Q35" i="28"/>
  <c r="Q31" i="28"/>
  <c r="Q27" i="28"/>
  <c r="O37" i="28"/>
  <c r="L33" i="28"/>
  <c r="L29" i="28"/>
  <c r="F25" i="28"/>
  <c r="P30" i="28"/>
  <c r="R26" i="28"/>
  <c r="R33" i="28"/>
  <c r="Q28" i="28"/>
  <c r="L26" i="28"/>
  <c r="J31" i="28"/>
  <c r="S31" i="28"/>
  <c r="B25" i="28"/>
  <c r="Q34" i="28"/>
  <c r="O34" i="28"/>
  <c r="O30" i="28"/>
  <c r="E27" i="28"/>
  <c r="M30" i="28"/>
  <c r="P32" i="28"/>
  <c r="R39" i="28"/>
  <c r="I31" i="28"/>
  <c r="I27" i="28"/>
  <c r="P28" i="28"/>
  <c r="S41" i="28"/>
  <c r="N28" i="28"/>
  <c r="N35" i="28"/>
  <c r="H30" i="28"/>
  <c r="J26" i="28"/>
  <c r="P35" i="28"/>
  <c r="S29" i="28"/>
  <c r="K25" i="28"/>
  <c r="H28" i="28"/>
  <c r="G25" i="28"/>
  <c r="L27" i="28"/>
  <c r="M32" i="28"/>
  <c r="K28" i="28"/>
  <c r="S40" i="28"/>
  <c r="R34" i="28"/>
  <c r="S37" i="28"/>
  <c r="G27" i="28"/>
  <c r="N33" i="28"/>
  <c r="R35" i="28"/>
  <c r="R36" i="28"/>
  <c r="Q26" i="28"/>
  <c r="R37" i="28"/>
  <c r="M34" i="28"/>
  <c r="O26" i="28"/>
  <c r="R31" i="28"/>
  <c r="S34" i="28"/>
  <c r="S30" i="28"/>
  <c r="M26" i="28"/>
  <c r="R27" i="28"/>
  <c r="N36" i="28"/>
  <c r="N32" i="28"/>
  <c r="F28" i="28"/>
  <c r="O27" i="28"/>
  <c r="R29" i="28"/>
  <c r="L25" i="28"/>
  <c r="O25" i="28"/>
  <c r="P25" i="28"/>
  <c r="K29" i="28"/>
  <c r="Q32" i="28"/>
  <c r="M33" i="28"/>
  <c r="R30" i="28"/>
  <c r="R28" i="28"/>
  <c r="K32" i="28"/>
  <c r="I28" i="28"/>
  <c r="O32" i="28"/>
  <c r="Q30" i="28"/>
  <c r="E25" i="28"/>
  <c r="P33" i="28"/>
  <c r="H29" i="28"/>
  <c r="N34" i="28"/>
  <c r="O35" i="28"/>
  <c r="Q33" i="28"/>
  <c r="Q29" i="28"/>
  <c r="I26" i="28"/>
  <c r="O33" i="28"/>
  <c r="O29" i="28"/>
  <c r="G26" i="28"/>
  <c r="L30" i="28"/>
  <c r="Q38" i="28"/>
  <c r="K30" i="28"/>
  <c r="E26" i="28"/>
  <c r="R40" i="28"/>
  <c r="P31" i="28"/>
  <c r="P27" i="28"/>
  <c r="P34" i="28"/>
  <c r="J29" i="28"/>
  <c r="M29" i="28"/>
  <c r="P29" i="28"/>
  <c r="L31" i="28"/>
  <c r="S32" i="28"/>
  <c r="Q36" i="28"/>
  <c r="L28" i="28"/>
  <c r="M28" i="28"/>
  <c r="R32" i="28"/>
  <c r="H26" i="28"/>
  <c r="M25" i="28"/>
  <c r="C25" i="28"/>
  <c r="O36" i="28"/>
  <c r="J30" i="28"/>
  <c r="J32" i="28"/>
  <c r="R25" i="28"/>
  <c r="K33" i="28"/>
  <c r="D25" i="28"/>
  <c r="L34" i="28"/>
  <c r="I30" i="28"/>
  <c r="I29" i="28"/>
  <c r="S25" i="28"/>
  <c r="G29" i="28"/>
  <c r="Q25" i="28"/>
  <c r="N29" i="28"/>
  <c r="Q39" i="28"/>
  <c r="H27" i="28"/>
  <c r="S33" i="28"/>
  <c r="S28" i="28"/>
  <c r="I25" i="28"/>
  <c r="L32" i="28"/>
  <c r="S26" i="28"/>
  <c r="O28" i="28"/>
  <c r="D26" i="28"/>
  <c r="N42" i="28"/>
  <c r="L39" i="28"/>
  <c r="O42" i="28"/>
  <c r="G34" i="28"/>
  <c r="K39" i="28"/>
  <c r="E28" i="28"/>
  <c r="E29" i="28"/>
  <c r="I34" i="28"/>
  <c r="F38" i="28"/>
  <c r="J37" i="28"/>
  <c r="D35" i="28"/>
  <c r="N38" i="28"/>
  <c r="F31" i="28"/>
  <c r="P42" i="28"/>
  <c r="F34" i="28"/>
  <c r="H36" i="28"/>
  <c r="H42" i="28"/>
  <c r="M37" i="28"/>
  <c r="J33" i="28"/>
  <c r="J41" i="28"/>
  <c r="C37" i="28"/>
  <c r="D37" i="28"/>
  <c r="D36" i="28"/>
  <c r="B27" i="28"/>
  <c r="B42" i="28"/>
  <c r="S42" i="28"/>
  <c r="N37" i="28"/>
  <c r="L36" i="28"/>
  <c r="G35" i="28"/>
  <c r="K36" i="28"/>
  <c r="E33" i="28"/>
  <c r="E32" i="28"/>
  <c r="I40" i="28"/>
  <c r="I42" i="28"/>
  <c r="J38" i="28"/>
  <c r="C26" i="28"/>
  <c r="C27" i="28"/>
  <c r="D40" i="28"/>
  <c r="B34" i="28"/>
  <c r="B37" i="28"/>
  <c r="L42" i="28"/>
  <c r="G41" i="28"/>
  <c r="G36" i="28"/>
  <c r="K42" i="28"/>
  <c r="R42" i="28"/>
  <c r="E41" i="28"/>
  <c r="E36" i="28"/>
  <c r="I36" i="28"/>
  <c r="I37" i="28"/>
  <c r="F41" i="28"/>
  <c r="F36" i="28"/>
  <c r="H38" i="28"/>
  <c r="P41" i="28"/>
  <c r="M41" i="28"/>
  <c r="J42" i="28"/>
  <c r="C33" i="28"/>
  <c r="C35" i="28"/>
  <c r="C40" i="28"/>
  <c r="D33" i="28"/>
  <c r="D39" i="28"/>
  <c r="B33" i="28"/>
  <c r="B26" i="28"/>
  <c r="N41" i="28"/>
  <c r="L37" i="28"/>
  <c r="O41" i="28"/>
  <c r="G38" i="28"/>
  <c r="G33" i="28"/>
  <c r="K37" i="28"/>
  <c r="R41" i="28"/>
  <c r="E38" i="28"/>
  <c r="I39" i="28"/>
  <c r="I35" i="28"/>
  <c r="A48" i="28" l="1"/>
  <c r="B48" i="28"/>
  <c r="B45" i="28"/>
  <c r="A45" i="28"/>
  <c r="E444" i="28" l="1"/>
  <c r="G442" i="28" s="1"/>
  <c r="E445" i="28"/>
  <c r="G445" i="28" s="1"/>
</calcChain>
</file>

<file path=xl/sharedStrings.xml><?xml version="1.0" encoding="utf-8"?>
<sst xmlns="http://schemas.openxmlformats.org/spreadsheetml/2006/main" count="1848" uniqueCount="904">
  <si>
    <t xml:space="preserve">Date: </t>
  </si>
  <si>
    <t>Index</t>
  </si>
  <si>
    <t>All usual residents</t>
  </si>
  <si>
    <t>Males</t>
  </si>
  <si>
    <t>Females</t>
  </si>
  <si>
    <t>Age 0 - 4</t>
  </si>
  <si>
    <t>Age 5 - 9</t>
  </si>
  <si>
    <t>Age 10 - 14</t>
  </si>
  <si>
    <t>Age 20 - 24</t>
  </si>
  <si>
    <t>Age 25 - 29</t>
  </si>
  <si>
    <t>Age 30 - 34</t>
  </si>
  <si>
    <t>Age 35 - 39</t>
  </si>
  <si>
    <t>Age 40 - 44</t>
  </si>
  <si>
    <t>Age 45 - 49</t>
  </si>
  <si>
    <t>Age 50 - 54</t>
  </si>
  <si>
    <t>Age 55 - 59</t>
  </si>
  <si>
    <t>Age 60 - 64</t>
  </si>
  <si>
    <t>Age 65 - 69</t>
  </si>
  <si>
    <t>Age 70 - 74</t>
  </si>
  <si>
    <t>Age 75 - 79</t>
  </si>
  <si>
    <t>Age 80 - 84</t>
  </si>
  <si>
    <t>Managers, directors and senior officials</t>
  </si>
  <si>
    <t>Professional occupations</t>
  </si>
  <si>
    <t>Associate professional and technical occupations</t>
  </si>
  <si>
    <t>Administrative and secretarial occupations</t>
  </si>
  <si>
    <t>Skilled trades occupations</t>
  </si>
  <si>
    <t>Caring, leisure and other service occupations</t>
  </si>
  <si>
    <t>Sales and customer service occupations</t>
  </si>
  <si>
    <t>Process, plant and machine operatives</t>
  </si>
  <si>
    <t>Elementary occupations</t>
  </si>
  <si>
    <t>All usual residents aged 16 and over</t>
  </si>
  <si>
    <t>No qualifications</t>
  </si>
  <si>
    <t>Other qualifications</t>
  </si>
  <si>
    <t>White</t>
  </si>
  <si>
    <t>Day-to-day activities limited a lot</t>
  </si>
  <si>
    <t>Day-to-day activities limited a little</t>
  </si>
  <si>
    <t>Daily Express</t>
  </si>
  <si>
    <t>Daily Mail</t>
  </si>
  <si>
    <t>Daily Mirror</t>
  </si>
  <si>
    <t>Daily Record</t>
  </si>
  <si>
    <t>Daily Star</t>
  </si>
  <si>
    <t>Daily Telegraph</t>
  </si>
  <si>
    <t>Financial Times</t>
  </si>
  <si>
    <t>i (newspaper)</t>
  </si>
  <si>
    <t>The Guardian</t>
  </si>
  <si>
    <t>The Sun</t>
  </si>
  <si>
    <t>The Times</t>
  </si>
  <si>
    <t>Commuterland Culturebuffs</t>
  </si>
  <si>
    <t>Metroculturals</t>
  </si>
  <si>
    <t>Experience Seekers</t>
  </si>
  <si>
    <t>Dormitory Dependables</t>
  </si>
  <si>
    <t>Trips &amp; Treats</t>
  </si>
  <si>
    <t>Home &amp; Heritage</t>
  </si>
  <si>
    <t>Up Our Street</t>
  </si>
  <si>
    <t>Kaleidoscope Creativity</t>
  </si>
  <si>
    <t>Unclassified</t>
  </si>
  <si>
    <t>A City Prosperity</t>
  </si>
  <si>
    <t>B Prestige Positions</t>
  </si>
  <si>
    <t>C Country Living</t>
  </si>
  <si>
    <t>D Rural Reality</t>
  </si>
  <si>
    <t>E Senior Security</t>
  </si>
  <si>
    <t>F Suburban Stability</t>
  </si>
  <si>
    <t>G Domestic Success</t>
  </si>
  <si>
    <t>H Aspiring Homemakers</t>
  </si>
  <si>
    <t>I Family Basics</t>
  </si>
  <si>
    <t>J Transient Renters</t>
  </si>
  <si>
    <t>K Municipal Tenants</t>
  </si>
  <si>
    <t>L Vintage Value</t>
  </si>
  <si>
    <t>M Modest Traditions</t>
  </si>
  <si>
    <t>N Urban Cohesion</t>
  </si>
  <si>
    <t>O Rental Hubs</t>
  </si>
  <si>
    <t>How to read the tables</t>
  </si>
  <si>
    <t>Audience Spectrum profile</t>
  </si>
  <si>
    <t>Audience Spectrum segment</t>
  </si>
  <si>
    <t>Count</t>
  </si>
  <si>
    <t>%</t>
  </si>
  <si>
    <t>Mosaic group profile</t>
  </si>
  <si>
    <t>Mosaic group</t>
  </si>
  <si>
    <t>Attended in past 12 months</t>
  </si>
  <si>
    <t>Art galleries</t>
  </si>
  <si>
    <t>Art gallery once a month or more</t>
  </si>
  <si>
    <t>Ballet</t>
  </si>
  <si>
    <t>Classical concerts</t>
  </si>
  <si>
    <t>Comedy shows</t>
  </si>
  <si>
    <t>Contemporary dance</t>
  </si>
  <si>
    <t>Jazz concerts</t>
  </si>
  <si>
    <t>Opera</t>
  </si>
  <si>
    <t>Plays</t>
  </si>
  <si>
    <t>Popular/rock concert</t>
  </si>
  <si>
    <t>Theatre</t>
  </si>
  <si>
    <t>Theatre once a month or more</t>
  </si>
  <si>
    <t>Visited in past 12 months</t>
  </si>
  <si>
    <t>Cinema visits</t>
  </si>
  <si>
    <t>Ever go to the cinema</t>
  </si>
  <si>
    <t>Go every two or three months</t>
  </si>
  <si>
    <t>Go once or more a month</t>
  </si>
  <si>
    <t>Never go</t>
  </si>
  <si>
    <t>Age structure</t>
  </si>
  <si>
    <t>Age group</t>
  </si>
  <si>
    <t>85+</t>
  </si>
  <si>
    <t>Other</t>
  </si>
  <si>
    <t>Long-term health problem or disability</t>
  </si>
  <si>
    <t>Household family status</t>
  </si>
  <si>
    <t>Economic activity</t>
  </si>
  <si>
    <t>Economically active</t>
  </si>
  <si>
    <t>Unemployed</t>
  </si>
  <si>
    <t>Occupation</t>
  </si>
  <si>
    <t>Occupation type</t>
  </si>
  <si>
    <t>Economically inactive</t>
  </si>
  <si>
    <t>Retired</t>
  </si>
  <si>
    <t>Student (including full-time students)</t>
  </si>
  <si>
    <t>Looking after home or family</t>
  </si>
  <si>
    <t>Long-term sick or disabled</t>
  </si>
  <si>
    <t>Highest qualification level</t>
  </si>
  <si>
    <t>Highest qualification achieved</t>
  </si>
  <si>
    <r>
      <t xml:space="preserve">Level 1 </t>
    </r>
    <r>
      <rPr>
        <i/>
        <sz val="10"/>
        <color theme="1"/>
        <rFont val="Trebuchet MS"/>
        <family val="2"/>
      </rPr>
      <t>(e.g. GCSEs graded D-G, Foundation diploma)</t>
    </r>
  </si>
  <si>
    <r>
      <t xml:space="preserve">Level 2 </t>
    </r>
    <r>
      <rPr>
        <i/>
        <sz val="10"/>
        <color theme="1"/>
        <rFont val="Trebuchet MS"/>
        <family val="2"/>
      </rPr>
      <t>(e.g. GCSEs graded A*-C, Higher diploma)</t>
    </r>
  </si>
  <si>
    <t>Apprenticeship</t>
  </si>
  <si>
    <r>
      <t xml:space="preserve">Level 3 </t>
    </r>
    <r>
      <rPr>
        <i/>
        <sz val="10"/>
        <color theme="1"/>
        <rFont val="Trebuchet MS"/>
        <family val="2"/>
      </rPr>
      <t>(e.g. AS and A Levels, Advanced and Progression diploma)</t>
    </r>
  </si>
  <si>
    <r>
      <t xml:space="preserve">Level 4 and above </t>
    </r>
    <r>
      <rPr>
        <i/>
        <sz val="10"/>
        <color theme="1"/>
        <rFont val="Trebuchet MS"/>
        <family val="2"/>
      </rPr>
      <t>(e.g. Higher Education and Higher diplomas)</t>
    </r>
  </si>
  <si>
    <t>National newspapers looked at yesterday (dailies)</t>
  </si>
  <si>
    <t>Daily newspapers read</t>
  </si>
  <si>
    <t>This report is based on mapping and profiling tools provided by Experian.</t>
  </si>
  <si>
    <t>The information contained within this report is not intended to be used as the sole basis for any business decision, and is based upon data which is provided by third parties, the accuracy and/or completeness of which it would not be possible and/or economically viable for Experian to guarantee.  Experian’s services also involve models and techniques based on statistical analysis, probability and predictive behaviour.  Accordingly, Experian is not able to accept any liability for any inaccuracy, incompleteness or other error in this report.</t>
  </si>
  <si>
    <t>Target Area:</t>
  </si>
  <si>
    <t xml:space="preserve">Base Area: </t>
  </si>
  <si>
    <t>Your target area</t>
  </si>
  <si>
    <t>Audience Spectrum</t>
  </si>
  <si>
    <t>Audience Spectrum is a population profiling tool which describes attendance, participation and engagement with the arts, museums and heritage, as well as behaviours, attitudes and preferences towards such organisations.  It has been built to meet the needs of small and large scale, ticketed and non-ticketed organisations from across the cultural sector.</t>
  </si>
  <si>
    <r>
      <t xml:space="preserve">To find out more and to view the pen portraits for each segment visit: </t>
    </r>
    <r>
      <rPr>
        <i/>
        <sz val="11"/>
        <color theme="7"/>
        <rFont val="Calibri"/>
        <family val="2"/>
        <scheme val="minor"/>
      </rPr>
      <t>www.</t>
    </r>
    <r>
      <rPr>
        <i/>
        <sz val="11"/>
        <color theme="7"/>
        <rFont val="Calibri"/>
        <family val="2"/>
        <scheme val="minor"/>
      </rPr>
      <t>theaudienceagency.org/audience-spectrum</t>
    </r>
  </si>
  <si>
    <t>Mosaic</t>
  </si>
  <si>
    <t>Mosaic is a geo-demographic profiling tool which combines a wide range of information from over 400 sources to create a summary of the likely characteristics of each UK household.  Households are assigned to a ‘group’, of which there are 15 in Mosaic, which describes their socio-economic and cultural behaviour.</t>
  </si>
  <si>
    <t>Further information</t>
  </si>
  <si>
    <t>Audience Spectrum and Mosaic profile</t>
  </si>
  <si>
    <t>-</t>
  </si>
  <si>
    <t>Arts attendance</t>
  </si>
  <si>
    <t>N/A</t>
  </si>
  <si>
    <t>Population and households</t>
  </si>
  <si>
    <t>Age 85+</t>
  </si>
  <si>
    <t>Ethnic group</t>
  </si>
  <si>
    <t>Ethnic group - overview</t>
  </si>
  <si>
    <t>For more information about the classifications given above, please see the Ofqual website:</t>
  </si>
  <si>
    <t>www.ofqual.gov.uk/qualifications-and-assessments/qualification-frameworks/levels-of-qualifications/</t>
  </si>
  <si>
    <t>0 to 4</t>
  </si>
  <si>
    <t>No dependent children in household</t>
  </si>
  <si>
    <t>Segments</t>
  </si>
  <si>
    <t>Subsegments</t>
  </si>
  <si>
    <t>Metroculturals M1</t>
  </si>
  <si>
    <t>Commuterland Culturebuffs C1</t>
  </si>
  <si>
    <t>Experience Seekers E1</t>
  </si>
  <si>
    <t>Dormitory Dependables D1</t>
  </si>
  <si>
    <t>Trips &amp; Treats T1</t>
  </si>
  <si>
    <t>Trips &amp; Treats T2</t>
  </si>
  <si>
    <t>Dormitory Dependables D2</t>
  </si>
  <si>
    <t>Experience Seekers E2</t>
  </si>
  <si>
    <t>Metroculturals M2</t>
  </si>
  <si>
    <t>Commuterland Culturebuffs C2</t>
  </si>
  <si>
    <t>Home &amp; Heritage H1</t>
  </si>
  <si>
    <t>Home &amp; Heritage H2</t>
  </si>
  <si>
    <t>Up Our Street U1</t>
  </si>
  <si>
    <t>Up Our Street U2</t>
  </si>
  <si>
    <t>Frontline Families F1</t>
  </si>
  <si>
    <t>Frontline Families F2</t>
  </si>
  <si>
    <t>Kaleidoscope Creativity K1</t>
  </si>
  <si>
    <t>Kaleidoscope Creativity K2</t>
  </si>
  <si>
    <t>Supported Communities S1</t>
  </si>
  <si>
    <t>Supported Communities S2</t>
  </si>
  <si>
    <t>Frontline Families</t>
  </si>
  <si>
    <t>Supported Communities</t>
  </si>
  <si>
    <t>Audience Spectrum subsegment</t>
  </si>
  <si>
    <t>Insert Map here and on the PDF tab</t>
  </si>
  <si>
    <t>•   Are in employment (full time, part time, or self-employed)</t>
  </si>
  <si>
    <t>•   Are not in employment but seeking work and ready to start within two weeks</t>
  </si>
  <si>
    <t>•   Are not in employment but waiting to start a job already attained and available</t>
  </si>
  <si>
    <t>Full-time students who fulfil any of these criteria are classified as economically active, and are counted separately in the “Full-time student” category of economically active.</t>
  </si>
  <si>
    <t>Full-time students are not included in any of the other categories such as employees or unemployed.</t>
  </si>
  <si>
    <r>
      <t>People are considered "</t>
    </r>
    <r>
      <rPr>
        <b/>
        <sz val="10"/>
        <color theme="1"/>
        <rFont val="Trebuchet MS"/>
        <family val="2"/>
      </rPr>
      <t>Economically active</t>
    </r>
    <r>
      <rPr>
        <sz val="10"/>
        <color theme="1"/>
        <rFont val="Trebuchet MS"/>
        <family val="2"/>
      </rPr>
      <t>" if they are aged 16 or older and:</t>
    </r>
  </si>
  <si>
    <t>•   People looking for work but not available to start work within two weeks</t>
  </si>
  <si>
    <t>•   People not looking for work</t>
  </si>
  <si>
    <t>•   People unable to work</t>
  </si>
  <si>
    <t>This includes people who are retired, looking after home/family, permanently sick or unable to work due to a disability.</t>
  </si>
  <si>
    <t>Students who fulfil any of these criteria are also classified as economically inactive. This does not necessarily mean they were in full-time education and excludes students who were working or in some other way economically active</t>
  </si>
  <si>
    <t>Adults 15+</t>
  </si>
  <si>
    <t>Dependent children in household</t>
  </si>
  <si>
    <t>Households</t>
  </si>
  <si>
    <t>Age 15 - 19</t>
  </si>
  <si>
    <t>Asian, Asian British or Asian Welsh</t>
  </si>
  <si>
    <t>Black, Black British, Black Welsh, Caribbean or African</t>
  </si>
  <si>
    <t>Mixed or Multiple ethnic groups</t>
  </si>
  <si>
    <t>Other ethnic group</t>
  </si>
  <si>
    <t>Asian: Bangladeshi</t>
  </si>
  <si>
    <t>Asian: Chinese</t>
  </si>
  <si>
    <t>Asian: Indian</t>
  </si>
  <si>
    <t>Asian: Pakistani</t>
  </si>
  <si>
    <t>Asian: Other Asian</t>
  </si>
  <si>
    <t>Black: African</t>
  </si>
  <si>
    <t>Black: Caribbean</t>
  </si>
  <si>
    <t>Black: Other Black</t>
  </si>
  <si>
    <t>Mixed: White and Black African</t>
  </si>
  <si>
    <t>Mixed: White and Black Caribbean</t>
  </si>
  <si>
    <t>Mixed: Other Mixed or Multiple ethnic groups</t>
  </si>
  <si>
    <t>White: Irish</t>
  </si>
  <si>
    <t>White: Gypsy or Irish Traveller</t>
  </si>
  <si>
    <t>White: Roma</t>
  </si>
  <si>
    <t>White: Other White</t>
  </si>
  <si>
    <t>Other ethnic group: Arab</t>
  </si>
  <si>
    <t>Other ethnic group: Any other ethnic group</t>
  </si>
  <si>
    <t>Has long term physical or mental health condition but day-to-day activities are not limited</t>
  </si>
  <si>
    <t>No long term physical or mental health conditions</t>
  </si>
  <si>
    <t>All households</t>
  </si>
  <si>
    <t>National Statistics Socio-economic Classification (NS-SEC)</t>
  </si>
  <si>
    <t>All usual residents aged 16 or over</t>
  </si>
  <si>
    <t>L1, L2 and L3 Higher managerial, administrative and professional occupations</t>
  </si>
  <si>
    <t>L4, L5 and L6 Lower managerial, administrative and professional occupations</t>
  </si>
  <si>
    <t>L7 Intermediate occupations</t>
  </si>
  <si>
    <t>L8 and L9 Small employers and own account workers</t>
  </si>
  <si>
    <t>L10 and L11 Lower supervisory and technical occupations</t>
  </si>
  <si>
    <t>L12 Semi-routine occupations</t>
  </si>
  <si>
    <t>L13 Routine occupations</t>
  </si>
  <si>
    <t>L14.1 and L14.2 Never worked and long-term unemployed</t>
  </si>
  <si>
    <t>L15 Full-time students</t>
  </si>
  <si>
    <t>Employment status</t>
  </si>
  <si>
    <t>Employed full-time</t>
  </si>
  <si>
    <t>Employed part-time</t>
  </si>
  <si>
    <r>
      <t>People are considered "</t>
    </r>
    <r>
      <rPr>
        <b/>
        <sz val="10"/>
        <color theme="1"/>
        <rFont val="Trebuchet MS"/>
        <family val="2"/>
      </rPr>
      <t>Economically inactive</t>
    </r>
    <r>
      <rPr>
        <sz val="10"/>
        <color theme="1"/>
        <rFont val="Trebuchet MS"/>
        <family val="2"/>
      </rPr>
      <t>" if they are aged 16 or older and not in employment but do not meet the criteria to be classified as “Unemployed". This includes:</t>
    </r>
  </si>
  <si>
    <t>All usual residents aged 16 years and over in employment the week before the census</t>
  </si>
  <si>
    <t>Overview</t>
  </si>
  <si>
    <t>Ethnic group - full categories</t>
  </si>
  <si>
    <t>General health</t>
  </si>
  <si>
    <t>Very good health</t>
  </si>
  <si>
    <t>Good health</t>
  </si>
  <si>
    <t>Fair health</t>
  </si>
  <si>
    <t>Bad health</t>
  </si>
  <si>
    <t>Very bad health</t>
  </si>
  <si>
    <t>Provision of unpaid care</t>
  </si>
  <si>
    <t>Provides no unpaid care</t>
  </si>
  <si>
    <t>Provides 19 hours or less unpaid care a week</t>
  </si>
  <si>
    <t>Provides 9 hours or less unpaid care a week</t>
  </si>
  <si>
    <t>Provides 10 to 19 hours unpaid care a week</t>
  </si>
  <si>
    <t>Provides 20 to 49 hours unpaid care a week</t>
  </si>
  <si>
    <t>Provides 20 to 34 hours unpaid care a week</t>
  </si>
  <si>
    <t>Provides 35 to 49 hours unpaid care a week</t>
  </si>
  <si>
    <t>Provides 50 or more hours unpaid care a week</t>
  </si>
  <si>
    <t>Country of birth</t>
  </si>
  <si>
    <t>Born in the UK</t>
  </si>
  <si>
    <t>Arrived 1951-1960</t>
  </si>
  <si>
    <t>Arrived 1961-1970</t>
  </si>
  <si>
    <t>Arrived 1971-1980</t>
  </si>
  <si>
    <t>Arrived 1981-1990</t>
  </si>
  <si>
    <t>Arrived 1991-2000</t>
  </si>
  <si>
    <t>0 to 4 years</t>
  </si>
  <si>
    <t>10 to 14 years</t>
  </si>
  <si>
    <t>20 to 24 years</t>
  </si>
  <si>
    <t>25 to 29 years</t>
  </si>
  <si>
    <t>30 to 44 years</t>
  </si>
  <si>
    <t>45 to 59 years</t>
  </si>
  <si>
    <t>60 to 64 years</t>
  </si>
  <si>
    <t>65 to 74 years</t>
  </si>
  <si>
    <t>75 to 84 years</t>
  </si>
  <si>
    <t>Less than 2 years</t>
  </si>
  <si>
    <t>10 years or more</t>
  </si>
  <si>
    <t>All usual residents aged 3 and over</t>
  </si>
  <si>
    <t>Religion</t>
  </si>
  <si>
    <t>Christian</t>
  </si>
  <si>
    <t>Buddhist</t>
  </si>
  <si>
    <t>Hindu</t>
  </si>
  <si>
    <t>Jewish</t>
  </si>
  <si>
    <t>Muslim</t>
  </si>
  <si>
    <t>Sikh</t>
  </si>
  <si>
    <t>Other religion</t>
  </si>
  <si>
    <t>No religion</t>
  </si>
  <si>
    <t>Africa (All)</t>
  </si>
  <si>
    <t>Middle East and Asia (All)</t>
  </si>
  <si>
    <t>The Americas and the Caribbean (All)</t>
  </si>
  <si>
    <t>Antarctica and Oceania (including Australasia) (All)</t>
  </si>
  <si>
    <t>British Overseas (All)</t>
  </si>
  <si>
    <t>Non-EU countries</t>
  </si>
  <si>
    <t>EU countries</t>
  </si>
  <si>
    <t>European Union EU14</t>
  </si>
  <si>
    <t>European Union EU8</t>
  </si>
  <si>
    <t>European Union EU2</t>
  </si>
  <si>
    <t>All other EU countries</t>
  </si>
  <si>
    <t>Arrived before 1951</t>
  </si>
  <si>
    <t>Arrived 2001-2010</t>
  </si>
  <si>
    <t>Arrived 2011 to 2013</t>
  </si>
  <si>
    <t>Arrived 2014 to 2016</t>
  </si>
  <si>
    <t>Arrived 2017 to 2019</t>
  </si>
  <si>
    <t>Arrived 2020 to 2021</t>
  </si>
  <si>
    <t>5 to 9 years</t>
  </si>
  <si>
    <t>15 to 19 years</t>
  </si>
  <si>
    <t>85 years or over</t>
  </si>
  <si>
    <t>Age of arrival in UK</t>
  </si>
  <si>
    <t>Year of arrival in UK</t>
  </si>
  <si>
    <t>5 years or more, but less than 10 years</t>
  </si>
  <si>
    <t>2 years or more, but less than 5 years</t>
  </si>
  <si>
    <t>Household is not deprived in any dimension</t>
  </si>
  <si>
    <t>Household is deprived in 1 dimension</t>
  </si>
  <si>
    <t>Household is deprived in 2 dimensions</t>
  </si>
  <si>
    <t>Household is deprived in 3 dimensions</t>
  </si>
  <si>
    <t>Household is deprived in 4 dimensions</t>
  </si>
  <si>
    <t>•   Employment: any member of a household not a full-time student is either unemployed or long-term sick.</t>
  </si>
  <si>
    <t>16-18 is a fulltime student.</t>
  </si>
  <si>
    <t>•   Health and disability: any person in the household has general health 'bad or very bad' or has a long term health problem.</t>
  </si>
  <si>
    <t>•   Housing: Household's accommodation is ether overcrowded, with an occupancy rating -1 or less, or is in a shared dwelling,</t>
  </si>
  <si>
    <t>or has no central heating.</t>
  </si>
  <si>
    <t>Household deprivation</t>
  </si>
  <si>
    <t>The dimensions of deprivation used to classify households are indicators based on four selected household characteristics. A household is deprived in a dimension if they meet one or more of the following conditions:</t>
  </si>
  <si>
    <t>•   Education: no person in the household has at least level 2 education (see highest level of qualification), and no person aged</t>
  </si>
  <si>
    <t>Welsh language</t>
  </si>
  <si>
    <r>
      <t>Welsh language skills</t>
    </r>
    <r>
      <rPr>
        <sz val="10"/>
        <color theme="0"/>
        <rFont val="Trebuchet MS"/>
        <family val="2"/>
      </rPr>
      <t xml:space="preserve"> (Wales only)</t>
    </r>
  </si>
  <si>
    <t>Can understand spoken Welsh only</t>
  </si>
  <si>
    <t>Can speak, read and write Welsh</t>
  </si>
  <si>
    <t>Can speak but cannot read or write Welsh</t>
  </si>
  <si>
    <t>Can speak and read but cannot write Welsh</t>
  </si>
  <si>
    <t>Can read but cannot speak or write Welsh</t>
  </si>
  <si>
    <t>Can write but cannot speak or read Welsh</t>
  </si>
  <si>
    <t>Can read and write but cannot speak Welsh</t>
  </si>
  <si>
    <t>Can speak and other combinations of skill</t>
  </si>
  <si>
    <t>No skills in Welsh</t>
  </si>
  <si>
    <r>
      <t xml:space="preserve">Proficiency in English </t>
    </r>
    <r>
      <rPr>
        <sz val="10"/>
        <color theme="0"/>
        <rFont val="Trebuchet MS"/>
        <family val="2"/>
      </rPr>
      <t>(English/Welsh in Wales)</t>
    </r>
  </si>
  <si>
    <t>Cannot speak Welsh</t>
  </si>
  <si>
    <t>Can speak Welsh</t>
  </si>
  <si>
    <r>
      <t>Welsh speaking, writing, reading, and understanding ability</t>
    </r>
    <r>
      <rPr>
        <sz val="10"/>
        <color theme="0"/>
        <rFont val="Trebuchet MS"/>
        <family val="2"/>
      </rPr>
      <t xml:space="preserve"> (Wales only)</t>
    </r>
  </si>
  <si>
    <t>Cannot write Welsh</t>
  </si>
  <si>
    <t>Can write Welsh</t>
  </si>
  <si>
    <t>Cannot read Welsh</t>
  </si>
  <si>
    <t>Can read Welsh</t>
  </si>
  <si>
    <t>Cannot understand spoken Welsh</t>
  </si>
  <si>
    <t>Can understand spoken Welsh</t>
  </si>
  <si>
    <t>Never worked and long-term unemployed</t>
  </si>
  <si>
    <t>1. Higher managerial, administrative and professional occupations</t>
  </si>
  <si>
    <t>2. Intermediate occupations</t>
  </si>
  <si>
    <t>3. Routine and manual occupations</t>
  </si>
  <si>
    <t>Full-time students</t>
  </si>
  <si>
    <t>NS-SEC (Operational categories)</t>
  </si>
  <si>
    <t>NS-SEC (three analytic classes)</t>
  </si>
  <si>
    <t>4</t>
  </si>
  <si>
    <t>9</t>
  </si>
  <si>
    <t>14</t>
  </si>
  <si>
    <t>19</t>
  </si>
  <si>
    <t>24</t>
  </si>
  <si>
    <t>29</t>
  </si>
  <si>
    <t>34</t>
  </si>
  <si>
    <t>39</t>
  </si>
  <si>
    <t>44</t>
  </si>
  <si>
    <t>49</t>
  </si>
  <si>
    <t>54</t>
  </si>
  <si>
    <t>59</t>
  </si>
  <si>
    <t>64</t>
  </si>
  <si>
    <t>69</t>
  </si>
  <si>
    <t>74</t>
  </si>
  <si>
    <t>79</t>
  </si>
  <si>
    <t>84</t>
  </si>
  <si>
    <t>0</t>
  </si>
  <si>
    <t>5</t>
  </si>
  <si>
    <t>10</t>
  </si>
  <si>
    <t>15</t>
  </si>
  <si>
    <t>20</t>
  </si>
  <si>
    <t>25</t>
  </si>
  <si>
    <t>30</t>
  </si>
  <si>
    <t>40</t>
  </si>
  <si>
    <t>45</t>
  </si>
  <si>
    <t>50</t>
  </si>
  <si>
    <t>55</t>
  </si>
  <si>
    <t>60</t>
  </si>
  <si>
    <t>65</t>
  </si>
  <si>
    <t>70</t>
  </si>
  <si>
    <t>75</t>
  </si>
  <si>
    <t>80</t>
  </si>
  <si>
    <t>Target</t>
  </si>
  <si>
    <t>Base</t>
  </si>
  <si>
    <t>From</t>
  </si>
  <si>
    <t>To</t>
  </si>
  <si>
    <t>Over-represented range</t>
  </si>
  <si>
    <t>Under-represented range</t>
  </si>
  <si>
    <t>Number of disabled people in household</t>
  </si>
  <si>
    <t>No people disabled under the Equality Act in household</t>
  </si>
  <si>
    <t>1 person disabled under the Equality Act in household</t>
  </si>
  <si>
    <t>2 or more people disabled under the Equality Act in household</t>
  </si>
  <si>
    <t>Source: 2021 Census Data: England and Wales - ONS. Licenced under the Open Government Licence v2.0. Crown Copyright</t>
  </si>
  <si>
    <t>All usual residents who chose to answer the question</t>
  </si>
  <si>
    <t>Antarctica and Oceania (including Australasia)</t>
  </si>
  <si>
    <t>British Overseas Territories</t>
  </si>
  <si>
    <t>United Kingdom</t>
  </si>
  <si>
    <t>Europe</t>
  </si>
  <si>
    <t>non-EU European countries</t>
  </si>
  <si>
    <t>the Middle East and Asia</t>
  </si>
  <si>
    <t>the Americas and the Caribbean</t>
  </si>
  <si>
    <t>Of those born overseas</t>
  </si>
  <si>
    <t>Total</t>
  </si>
  <si>
    <t>1 car or van in household</t>
  </si>
  <si>
    <t>2 cars or vans in household</t>
  </si>
  <si>
    <t>No cars or vans in household</t>
  </si>
  <si>
    <t>All usual residents in households</t>
  </si>
  <si>
    <t>Education</t>
  </si>
  <si>
    <t>Adults 15+ estimate 2021</t>
  </si>
  <si>
    <t>Daily Star Sunday</t>
  </si>
  <si>
    <t>Sunday Mail (Scotland)</t>
  </si>
  <si>
    <t>Sunday People</t>
  </si>
  <si>
    <t>Sunday Post (Scotland)</t>
  </si>
  <si>
    <t>The Mail on Sunday</t>
  </si>
  <si>
    <t>The Observer</t>
  </si>
  <si>
    <t>The Sun on Sunday</t>
  </si>
  <si>
    <t>The Sunday Express</t>
  </si>
  <si>
    <t>The Sunday Mirror</t>
  </si>
  <si>
    <t>The Sunday Telegraph</t>
  </si>
  <si>
    <t>The Sunday Times</t>
  </si>
  <si>
    <t>Visited archaeological sites</t>
  </si>
  <si>
    <t>Visited flower shows and gardens</t>
  </si>
  <si>
    <t>Visited museums</t>
  </si>
  <si>
    <t>Visited nature reserve</t>
  </si>
  <si>
    <t>Visited safari parks</t>
  </si>
  <si>
    <t>Visited stately homes/castles</t>
  </si>
  <si>
    <t>Visited UK theme parks</t>
  </si>
  <si>
    <t>Visited zoos</t>
  </si>
  <si>
    <t>Musicals</t>
  </si>
  <si>
    <t>National newspapers looked at last week (Sunday)</t>
  </si>
  <si>
    <t>Sunday newspapers read</t>
  </si>
  <si>
    <t>Totals and percentages do not include unclassified postcodes.</t>
  </si>
  <si>
    <t>Industry of employment</t>
  </si>
  <si>
    <t>A: Agriculture, Forestry and fishing</t>
  </si>
  <si>
    <t>B: Mining and quarrying</t>
  </si>
  <si>
    <t>C: Manufacturing</t>
  </si>
  <si>
    <t>F: Construction</t>
  </si>
  <si>
    <t>H: Transport and storage</t>
  </si>
  <si>
    <t>I: Accommodation and food service activities</t>
  </si>
  <si>
    <t>J: Information and communication</t>
  </si>
  <si>
    <t>K: Financial and insurance activities</t>
  </si>
  <si>
    <t>L: Real estate activities</t>
  </si>
  <si>
    <t>P: Education</t>
  </si>
  <si>
    <t>Q: Human health and social work activities</t>
  </si>
  <si>
    <t>R: Libraries, archives, museums and other cultural activities</t>
  </si>
  <si>
    <t>S: Other service activities</t>
  </si>
  <si>
    <t>T: Activities of households as employers; undifferentiated goods-and services-producing activities of households for own use</t>
  </si>
  <si>
    <t>U Activities of extraterritorial organisations and bodies</t>
  </si>
  <si>
    <t>R: Other entertainment and recreation activities</t>
  </si>
  <si>
    <t>R: Creative, arts and entertainment activities</t>
  </si>
  <si>
    <t>Target area</t>
  </si>
  <si>
    <t>Base area</t>
  </si>
  <si>
    <t>Sexual orientation</t>
  </si>
  <si>
    <t>Straight or Heterosexual</t>
  </si>
  <si>
    <t>Gay or Lesbian</t>
  </si>
  <si>
    <t>Bisexual</t>
  </si>
  <si>
    <t>All other sexual orientations</t>
  </si>
  <si>
    <t>All usual residents aged 16 years and over</t>
  </si>
  <si>
    <t>Gender identity</t>
  </si>
  <si>
    <t>Trans woman</t>
  </si>
  <si>
    <t>Trans man</t>
  </si>
  <si>
    <t>All other gender identities</t>
  </si>
  <si>
    <t>Gender identity the same as sex registered at birth</t>
  </si>
  <si>
    <t>Gender identity different from sex registered at birth</t>
  </si>
  <si>
    <t>Census data</t>
  </si>
  <si>
    <t>Building your target and base areas</t>
  </si>
  <si>
    <t>D: Electricity, gas, steam and air conditioning supply</t>
  </si>
  <si>
    <t>E: Water supply; Sewerage, Waste management and Remediation activities</t>
  </si>
  <si>
    <t>G: Wholesale and retail trade; repair of motor vehicles and motorcycles</t>
  </si>
  <si>
    <t>M: Professional, scientific and technical activities</t>
  </si>
  <si>
    <t>N: Administrative and support service activities</t>
  </si>
  <si>
    <t>O: Public administration and defence; compulsory social security</t>
  </si>
  <si>
    <t>Sex</t>
  </si>
  <si>
    <t>Dependent children</t>
  </si>
  <si>
    <t>Core demographics</t>
  </si>
  <si>
    <t>Health and unpaid care</t>
  </si>
  <si>
    <t>Education and employment</t>
  </si>
  <si>
    <t>Census demographics</t>
  </si>
  <si>
    <t>Disability under the Equality Act</t>
  </si>
  <si>
    <t>Sex and Gender</t>
  </si>
  <si>
    <t>Disability in household</t>
  </si>
  <si>
    <t>Unpaid care</t>
  </si>
  <si>
    <t>English language proficiency (or English or Welsh in Wales)</t>
  </si>
  <si>
    <t>Arrival in UK</t>
  </si>
  <si>
    <t>Communal establishments</t>
  </si>
  <si>
    <t>All usual residents in communal establishments</t>
  </si>
  <si>
    <t>Communal establishment management and type</t>
  </si>
  <si>
    <t>Medical and care establishment</t>
  </si>
  <si>
    <t>Other establishment</t>
  </si>
  <si>
    <t>Establishment not stated</t>
  </si>
  <si>
    <t>NHS</t>
  </si>
  <si>
    <t>General hospital</t>
  </si>
  <si>
    <t>Local Authority</t>
  </si>
  <si>
    <t>Mental health hospital or unit (including secure units)</t>
  </si>
  <si>
    <t>Other hospital</t>
  </si>
  <si>
    <t>Children's home (including secure units)</t>
  </si>
  <si>
    <t>Care home with nursing</t>
  </si>
  <si>
    <t>Care home without nursing</t>
  </si>
  <si>
    <t>Other home</t>
  </si>
  <si>
    <t>Registered Social Landlord or Housing Association</t>
  </si>
  <si>
    <t>Home or hostel</t>
  </si>
  <si>
    <t>Defence</t>
  </si>
  <si>
    <t>Prison service</t>
  </si>
  <si>
    <t>Approved premises (probation or bail hostel)</t>
  </si>
  <si>
    <t>Detention centres and other detention</t>
  </si>
  <si>
    <t>Hotel, guest house, B&amp;B or youth hostel</t>
  </si>
  <si>
    <t>Hostel or temporary shelter for the homeless</t>
  </si>
  <si>
    <t>Holiday accommodation</t>
  </si>
  <si>
    <t>Other travel or temporary accommodation</t>
  </si>
  <si>
    <t>Religious</t>
  </si>
  <si>
    <t>Staff or worker accommodation or Other</t>
  </si>
  <si>
    <t>Car or van availability</t>
  </si>
  <si>
    <t>3 or more cars or vans in household</t>
  </si>
  <si>
    <t>Tenure</t>
  </si>
  <si>
    <t>Owned</t>
  </si>
  <si>
    <t>Shared ownership</t>
  </si>
  <si>
    <t>Social rented</t>
  </si>
  <si>
    <t>Private rented</t>
  </si>
  <si>
    <t>Lives rent free</t>
  </si>
  <si>
    <t>Housing tenure</t>
  </si>
  <si>
    <t>Students</t>
  </si>
  <si>
    <t>Schoolchildren and full-time students</t>
  </si>
  <si>
    <t>Student</t>
  </si>
  <si>
    <t>Not a student</t>
  </si>
  <si>
    <t>All usual residents aged 5 years and over</t>
  </si>
  <si>
    <t>Full-time further or higher education (estimate)</t>
  </si>
  <si>
    <t>5 to 11</t>
  </si>
  <si>
    <t>12 to 16</t>
  </si>
  <si>
    <t>Remainder</t>
  </si>
  <si>
    <t>Age (by year, MSOA)</t>
  </si>
  <si>
    <t>All students</t>
  </si>
  <si>
    <t>Not students</t>
  </si>
  <si>
    <t>Sum</t>
  </si>
  <si>
    <t>% of pop</t>
  </si>
  <si>
    <t>% of 5+ pop</t>
  </si>
  <si>
    <t>Primary age (estimate)</t>
  </si>
  <si>
    <t>Secondary age (estimate)</t>
  </si>
  <si>
    <t>Primary age and secondary age estimates based on single-year age categories as a proportion of the population aged 5 or older, with 5 to 11 taken as primary age and 12 to 16 as secondary age. Full-time further or higher education (estimate) is taken from the difference between all schoolchildren/full-time students and the sum of the primary and secondary age estimates.</t>
  </si>
  <si>
    <t>Mixed: White and Asian</t>
  </si>
  <si>
    <t>All usual residents aged 3 years and over</t>
  </si>
  <si>
    <t>2023 Experian Ltd</t>
  </si>
  <si>
    <t>Europe (All, not including UK)</t>
  </si>
  <si>
    <t>Households by deprivation dimensions</t>
  </si>
  <si>
    <t>Length of residence in the UK</t>
  </si>
  <si>
    <t>Population</t>
  </si>
  <si>
    <t>White: English, Welsh, Scottish, Northern Irish or British</t>
  </si>
  <si>
    <t>Activities taken part in</t>
  </si>
  <si>
    <t>Taken part in past 12 months</t>
  </si>
  <si>
    <t>Aerobics/keep fit</t>
  </si>
  <si>
    <t>Amateur Dramatics/Dance</t>
  </si>
  <si>
    <t>Baking</t>
  </si>
  <si>
    <t>Bingo (in a club)</t>
  </si>
  <si>
    <t>Bird watching</t>
  </si>
  <si>
    <t>Camping</t>
  </si>
  <si>
    <t>Climbing/mountaineering</t>
  </si>
  <si>
    <t>Coding</t>
  </si>
  <si>
    <t>Collections/Collecting Items</t>
  </si>
  <si>
    <t>Computing/Technology</t>
  </si>
  <si>
    <t>Cooking</t>
  </si>
  <si>
    <t>Crossword/Sudoku type Puzzles</t>
  </si>
  <si>
    <t>Dance classes</t>
  </si>
  <si>
    <t>Drawing/painting/sculpting</t>
  </si>
  <si>
    <t>Family History/Genealogy</t>
  </si>
  <si>
    <t>Gardening</t>
  </si>
  <si>
    <t>Horse riding</t>
  </si>
  <si>
    <t>Model Making</t>
  </si>
  <si>
    <t>Photography</t>
  </si>
  <si>
    <t>Placing a bet</t>
  </si>
  <si>
    <t>Playing a musical Instrument</t>
  </si>
  <si>
    <t>Poker</t>
  </si>
  <si>
    <t>Quiz nights</t>
  </si>
  <si>
    <t>Sewing/Knitting</t>
  </si>
  <si>
    <t>Singing</t>
  </si>
  <si>
    <t>Ten-pin bowling</t>
  </si>
  <si>
    <t>Walking/hiking/rambling</t>
  </si>
  <si>
    <t>Weight training/Weight machines</t>
  </si>
  <si>
    <t>Woodworking</t>
  </si>
  <si>
    <t>Working on motor vehicles/mechanics</t>
  </si>
  <si>
    <t>Yoga</t>
  </si>
  <si>
    <t>Museums, heritage, and outings</t>
  </si>
  <si>
    <t>Sports taken part in</t>
  </si>
  <si>
    <t>American Football</t>
  </si>
  <si>
    <t>Athletics</t>
  </si>
  <si>
    <t>Badminton</t>
  </si>
  <si>
    <t>Baseball</t>
  </si>
  <si>
    <t>Basketball</t>
  </si>
  <si>
    <t>Bowls</t>
  </si>
  <si>
    <t>Boxing</t>
  </si>
  <si>
    <t>Canoeing/Kayaking</t>
  </si>
  <si>
    <t>Cricket</t>
  </si>
  <si>
    <t>Cycling</t>
  </si>
  <si>
    <t>Darts</t>
  </si>
  <si>
    <t>Fishing</t>
  </si>
  <si>
    <t>Golf</t>
  </si>
  <si>
    <t>Gymnastics</t>
  </si>
  <si>
    <t>Hockey</t>
  </si>
  <si>
    <t>Ice Hockey</t>
  </si>
  <si>
    <t>Ice skating</t>
  </si>
  <si>
    <t>Jogging/Running</t>
  </si>
  <si>
    <t>Marathon/long distance running</t>
  </si>
  <si>
    <t>Martial Arts/Mixed Martial Arts</t>
  </si>
  <si>
    <t>Mountain biking</t>
  </si>
  <si>
    <t>Netball</t>
  </si>
  <si>
    <t>Pilates</t>
  </si>
  <si>
    <t>Pool</t>
  </si>
  <si>
    <t>Roller Skating/Roller Blading</t>
  </si>
  <si>
    <t>Rowing</t>
  </si>
  <si>
    <t>Rugby League</t>
  </si>
  <si>
    <t>Rugby Union</t>
  </si>
  <si>
    <t>Sailing/motor boating</t>
  </si>
  <si>
    <t>Scuba Diving</t>
  </si>
  <si>
    <t>Show jumping</t>
  </si>
  <si>
    <t>Skateboarding</t>
  </si>
  <si>
    <t>Skiing</t>
  </si>
  <si>
    <t>Snooker</t>
  </si>
  <si>
    <t>Snowboarding</t>
  </si>
  <si>
    <t>Squash</t>
  </si>
  <si>
    <t>Surfing</t>
  </si>
  <si>
    <t>Swimming</t>
  </si>
  <si>
    <t>Table tennis</t>
  </si>
  <si>
    <t>Tennis</t>
  </si>
  <si>
    <t>Using Cardio vascular machines</t>
  </si>
  <si>
    <t>Volleyball</t>
  </si>
  <si>
    <t>LMSE Media</t>
  </si>
  <si>
    <t>LMSE Leisure</t>
  </si>
  <si>
    <t>Going to a casino</t>
  </si>
  <si>
    <t>Playing board games</t>
  </si>
  <si>
    <t>Football</t>
  </si>
  <si>
    <t>Motor sport</t>
  </si>
  <si>
    <t>Local Market Size Estimates</t>
  </si>
  <si>
    <t>Local Market Size Estimate (LMSE) data</t>
  </si>
  <si>
    <r>
      <t xml:space="preserve">Data about arts, culture and heritage activity, outings and other leisure activities, sports participation and media consumption is sourced from the BMRB Target Group Index survey and modelled to describe the likely characteristics of the adult population of your specific target and base area. Whilst the TGI survey covers a representative sample of the UK population, the figures on the LMSE tab should be taken as being indicative of </t>
    </r>
    <r>
      <rPr>
        <i/>
        <sz val="10"/>
        <color theme="1"/>
        <rFont val="Trebuchet MS"/>
        <family val="2"/>
      </rPr>
      <t>likely</t>
    </r>
    <r>
      <rPr>
        <sz val="10"/>
        <color theme="1"/>
        <rFont val="Trebuchet MS"/>
        <family val="2"/>
      </rPr>
      <t xml:space="preserve"> levels of activity in your target and base areas rather than a describing </t>
    </r>
    <r>
      <rPr>
        <i/>
        <sz val="10"/>
        <color theme="1"/>
        <rFont val="Trebuchet MS"/>
        <family val="2"/>
      </rPr>
      <t>actual</t>
    </r>
    <r>
      <rPr>
        <sz val="10"/>
        <color theme="1"/>
        <rFont val="Trebuchet MS"/>
        <family val="2"/>
      </rPr>
      <t xml:space="preserve"> instances of attendance of activity.</t>
    </r>
  </si>
  <si>
    <t>Demographic data in this report comes from the 2021 England and Wales census. Figures describe people or households within your target area in March 2021, when the census was taken; the exact definition is given in the total row of each table - for example whether the figures relate to the entire population, or just adults.</t>
  </si>
  <si>
    <t>The Office for National Statistics (ONS) publish census data at various levels of granularity, for example Output Area (which covers an average of 131 households), Medium Super Output Area (an average of around 3,400 households), Ward (an average of around 3,200 households), Local Authority and region. This report uses the most granular level available for each variable, to match your exact target and base areas as closely as possible.</t>
  </si>
  <si>
    <t>Care home</t>
  </si>
  <si>
    <t>Defence establishment</t>
  </si>
  <si>
    <t>Education establishment</t>
  </si>
  <si>
    <t>Other type or not stated</t>
  </si>
  <si>
    <t>Target area:</t>
  </si>
  <si>
    <t>Base area:</t>
  </si>
  <si>
    <t>Population Profile Report</t>
  </si>
  <si>
    <t>Level 1</t>
  </si>
  <si>
    <t>Level 2</t>
  </si>
  <si>
    <t>Level 3</t>
  </si>
  <si>
    <t>Level 4 and above</t>
  </si>
  <si>
    <t>Industry of employment (top 10 in target area)</t>
  </si>
  <si>
    <t>Communal establishment management and type (top 3)</t>
  </si>
  <si>
    <t>Hospital or mental health unit</t>
  </si>
  <si>
    <t>hospitals or metal health units</t>
  </si>
  <si>
    <t>Other care establishment</t>
  </si>
  <si>
    <t>defence establishments</t>
  </si>
  <si>
    <t>prison service establishments</t>
  </si>
  <si>
    <t>hotels, guest houses, B&amp;Bs or youth hostels</t>
  </si>
  <si>
    <t>hostels or temporary shelter for the homeless</t>
  </si>
  <si>
    <t>care establishments (e.g. children's homes, homes or hostels provided by social landlords or housing associations, or other care establishments provided by Local Authorities)</t>
  </si>
  <si>
    <t>This table repeats the categories above, but changes the wording to be suitable for the summary</t>
  </si>
  <si>
    <t>This table groups establishments together for the summary and chart</t>
  </si>
  <si>
    <t>This pulls out top 10 industries of employment, for chart and summary</t>
  </si>
  <si>
    <t>Country of birth (reduced)</t>
  </si>
  <si>
    <t>Year of arrival</t>
  </si>
  <si>
    <t>This table pulls out the top three types of establishment, for the summary</t>
  </si>
  <si>
    <t>care homes (either with or without nursing)</t>
  </si>
  <si>
    <t>education establishments (including university accommodation and boarding schools)</t>
  </si>
  <si>
    <t>This table pulls out the top five ethnic groups, for the summary</t>
  </si>
  <si>
    <t>Ethnic group - full categories (top 5)</t>
  </si>
  <si>
    <t>Bangladeshi</t>
  </si>
  <si>
    <t>Chinese</t>
  </si>
  <si>
    <t>Indian</t>
  </si>
  <si>
    <t>Pakistani</t>
  </si>
  <si>
    <t>Black African</t>
  </si>
  <si>
    <t>Black Caribbean</t>
  </si>
  <si>
    <t>Mixed White and Asian</t>
  </si>
  <si>
    <t>Mixed White and Black African</t>
  </si>
  <si>
    <t>Mixed White and Black Caribbean</t>
  </si>
  <si>
    <t>Other Mixed or Multiple ethnic groups</t>
  </si>
  <si>
    <t>White English, Welsh, Scottish, Northern Irish or British</t>
  </si>
  <si>
    <t>White Irish</t>
  </si>
  <si>
    <t>Gypsy or Irish Traveller</t>
  </si>
  <si>
    <t>Roma</t>
  </si>
  <si>
    <t>Other White ethnic groups</t>
  </si>
  <si>
    <t>Other Black ethnic groups</t>
  </si>
  <si>
    <t>Other Asian ethnic groups</t>
  </si>
  <si>
    <t>Arab</t>
  </si>
  <si>
    <t>National identity</t>
  </si>
  <si>
    <t>National identity (detailed)</t>
  </si>
  <si>
    <t>UK</t>
  </si>
  <si>
    <t>UK: British only</t>
  </si>
  <si>
    <t>UK: English only</t>
  </si>
  <si>
    <t>UK: English and British only</t>
  </si>
  <si>
    <t>UK: Welsh only</t>
  </si>
  <si>
    <t>UK: Welsh and British only</t>
  </si>
  <si>
    <t>UK: Scottish only</t>
  </si>
  <si>
    <t>UK: Scottish and British only</t>
  </si>
  <si>
    <t>UK: Northern Irish only</t>
  </si>
  <si>
    <t>UK: Northern Irish and British only</t>
  </si>
  <si>
    <t>UK: Cornish only</t>
  </si>
  <si>
    <t>UK: Cornish and British only</t>
  </si>
  <si>
    <t>UK: Any other combination (UK only)</t>
  </si>
  <si>
    <t>UK: Other and at least one UK</t>
  </si>
  <si>
    <t>Other: Guernsey Islander</t>
  </si>
  <si>
    <t>Other: Jersey Islander</t>
  </si>
  <si>
    <t>Other: Isle of Man (Manx)</t>
  </si>
  <si>
    <t>Other: Channel Islander</t>
  </si>
  <si>
    <t>Other: Irish only</t>
  </si>
  <si>
    <t>Other: European</t>
  </si>
  <si>
    <t>Other: European: EU Countries</t>
  </si>
  <si>
    <t>Other: European: EU: French</t>
  </si>
  <si>
    <t>Other: European: EU: German</t>
  </si>
  <si>
    <t>Other: European: EU: Italian</t>
  </si>
  <si>
    <t>Other: European: EU: Portuguese</t>
  </si>
  <si>
    <t>Other: European: EU: Spanish inc Canary Islander</t>
  </si>
  <si>
    <t>Other: European: EU: Other EU as March 2001</t>
  </si>
  <si>
    <t>Other: European: EU: Lithuanian</t>
  </si>
  <si>
    <t>Other: European: EU: Polish</t>
  </si>
  <si>
    <t>Other: European: EU: Romanian</t>
  </si>
  <si>
    <t>Other: European: EU: Other</t>
  </si>
  <si>
    <t>Other: European: Non-EU</t>
  </si>
  <si>
    <t>Other: European: Non-EU: Turkish</t>
  </si>
  <si>
    <t>Other: European: Non-EU: Other</t>
  </si>
  <si>
    <t>Other: African</t>
  </si>
  <si>
    <t>Other: African: North African</t>
  </si>
  <si>
    <t>Other: African: Central and Western African</t>
  </si>
  <si>
    <t>Other: African: C and W African: Ghanaian</t>
  </si>
  <si>
    <t>Other: African: C and W African: Nigerian</t>
  </si>
  <si>
    <t>Other: African: C and W African: Other</t>
  </si>
  <si>
    <t>Other: African: South and Eastern African</t>
  </si>
  <si>
    <t>Other: African: S and E African: Kenyan</t>
  </si>
  <si>
    <t>Other: African: S and E African: Somali</t>
  </si>
  <si>
    <t>Other: African: S and E African: South African</t>
  </si>
  <si>
    <t>Other: African: S and E African: Zimbabwean</t>
  </si>
  <si>
    <t>Other: African: S and E African: Other</t>
  </si>
  <si>
    <t>Other: Middle Eastern and Asian</t>
  </si>
  <si>
    <t>Other: ME and Asian: Middle Eastern</t>
  </si>
  <si>
    <t>Other: ME and Asian: ME: Kurdish</t>
  </si>
  <si>
    <t>Other: ME and Asian: ME: Iranian</t>
  </si>
  <si>
    <t>Other: ME and Asian: ME: Iraqi</t>
  </si>
  <si>
    <t>Other: ME and Asian: ME: Other</t>
  </si>
  <si>
    <t>Other: ME and Asian: Eastern Asian</t>
  </si>
  <si>
    <t>Other: ME and Asian: E Asian: Chinese</t>
  </si>
  <si>
    <t>Other: ME and Asian: E Asian: Hong Kong Chinese</t>
  </si>
  <si>
    <t>Other: ME and Asian: E Asian: Japanese</t>
  </si>
  <si>
    <t>Other: ME and Asian: E Asian: Other</t>
  </si>
  <si>
    <t>Other: ME and Asian: Southern Asian</t>
  </si>
  <si>
    <t>Other: ME and Asian: S Asian: Afghan</t>
  </si>
  <si>
    <t>Other: ME and Asian: S Asian: Bangladeshi</t>
  </si>
  <si>
    <t>Other: ME and Asian: S Asian: Indian</t>
  </si>
  <si>
    <t>Other: ME and Asian: S Asian: Pakistani</t>
  </si>
  <si>
    <t>Other: ME and Asian: S Asian: Sri Lankan</t>
  </si>
  <si>
    <t>Other: ME and Asian: S Asian: Other</t>
  </si>
  <si>
    <t>Other: ME and Asian: South-East Asian</t>
  </si>
  <si>
    <t>Other: ME and Asian: SE Asian: Filipino</t>
  </si>
  <si>
    <t>Other: ME and Asian: SE Asian: Malaysian</t>
  </si>
  <si>
    <t>Other: ME and Asian: SE Asian: Singaporean</t>
  </si>
  <si>
    <t>Other: ME and Asian: SE Asian: Other</t>
  </si>
  <si>
    <t>Other: ME and Asian: Central Asian</t>
  </si>
  <si>
    <t>Other: ME and Asian: Asian not otherwise specified</t>
  </si>
  <si>
    <t>Other: American and Caribbean</t>
  </si>
  <si>
    <t>Other: American and Caribbean: North American</t>
  </si>
  <si>
    <t>Other: American and Caribbean: N American: Canadian</t>
  </si>
  <si>
    <t>Other: American and Caribbean: N American: US Citizen</t>
  </si>
  <si>
    <t>Other: American and Caribbean: N American: Other</t>
  </si>
  <si>
    <t>Other: American and Caribbean: Central American</t>
  </si>
  <si>
    <t>Other: American and Caribbean: South American</t>
  </si>
  <si>
    <t>Other: American and Caribbean: Caribbean</t>
  </si>
  <si>
    <t>Other: American and Caribbean: Caribbean: Jamaican</t>
  </si>
  <si>
    <t>Other: American and Caribbean: Caribbean: Other</t>
  </si>
  <si>
    <t>Other: Antarctican and Oceanian</t>
  </si>
  <si>
    <t>Other: Antarctican and Oceanian: Australasian</t>
  </si>
  <si>
    <t>Other: Antarctican and Oceanian: Aus: Australian</t>
  </si>
  <si>
    <t>Other: Antarctican and Oceanian: Aus: New Zealander</t>
  </si>
  <si>
    <t>Other: Antarctican and Oceanian: Aus: Other</t>
  </si>
  <si>
    <t>Other: Antarctican and Oceanian: Other Oceanian</t>
  </si>
  <si>
    <t>Other: Other</t>
  </si>
  <si>
    <t>Other: Irish and at least one UK</t>
  </si>
  <si>
    <t>Other national identity</t>
  </si>
  <si>
    <t>Irish only</t>
  </si>
  <si>
    <t>Irish and at least one UK identity</t>
  </si>
  <si>
    <t>French</t>
  </si>
  <si>
    <t>German</t>
  </si>
  <si>
    <t>Italian</t>
  </si>
  <si>
    <t>Portuguese</t>
  </si>
  <si>
    <t>Lithuanian</t>
  </si>
  <si>
    <t>Polish</t>
  </si>
  <si>
    <t>Romanian</t>
  </si>
  <si>
    <t>Turkish</t>
  </si>
  <si>
    <t>Ghanaian</t>
  </si>
  <si>
    <t>Nigerian</t>
  </si>
  <si>
    <t>Kenyan</t>
  </si>
  <si>
    <t>Somali</t>
  </si>
  <si>
    <t>South African</t>
  </si>
  <si>
    <t>Zimbabwean</t>
  </si>
  <si>
    <t>Kurdish</t>
  </si>
  <si>
    <t>Iranian</t>
  </si>
  <si>
    <t>Iraqi</t>
  </si>
  <si>
    <t>Hong Kong Chinese</t>
  </si>
  <si>
    <t>Japanese</t>
  </si>
  <si>
    <t>Afghan</t>
  </si>
  <si>
    <t>Sri Lankan</t>
  </si>
  <si>
    <t>Filipino</t>
  </si>
  <si>
    <t>Malaysian</t>
  </si>
  <si>
    <t>Singaporean</t>
  </si>
  <si>
    <t>Canadian</t>
  </si>
  <si>
    <t>US Citizen</t>
  </si>
  <si>
    <t>Jamaican</t>
  </si>
  <si>
    <t>Australian</t>
  </si>
  <si>
    <t>New Zealander</t>
  </si>
  <si>
    <t>Other national identity not otherwise specified</t>
  </si>
  <si>
    <t>UK national identity only</t>
  </si>
  <si>
    <t>National identity (summarised)</t>
  </si>
  <si>
    <t>UK and another identity</t>
  </si>
  <si>
    <t>Spanish</t>
  </si>
  <si>
    <t>Irish</t>
  </si>
  <si>
    <t>Other Middle Eastern identity</t>
  </si>
  <si>
    <t>Other South and Eastern African identity</t>
  </si>
  <si>
    <t>Other Central and Western African identity</t>
  </si>
  <si>
    <t>Other Eastern Asian identity</t>
  </si>
  <si>
    <t>Other Southern Asian identity</t>
  </si>
  <si>
    <t>Other South-East Asian identity</t>
  </si>
  <si>
    <t>Central Asian identity</t>
  </si>
  <si>
    <t>Asian identity not otherwise specified</t>
  </si>
  <si>
    <t>Other North American identity</t>
  </si>
  <si>
    <t>Central American identity</t>
  </si>
  <si>
    <t>South American identity</t>
  </si>
  <si>
    <t>Other Caribbean identity</t>
  </si>
  <si>
    <t>Other Australasian identity</t>
  </si>
  <si>
    <t>Other Oceanian identity</t>
  </si>
  <si>
    <t>UK and other identity</t>
  </si>
  <si>
    <t>European non-EU nations</t>
  </si>
  <si>
    <t>Central and Western African nations</t>
  </si>
  <si>
    <t>North African nations</t>
  </si>
  <si>
    <t>South and Eastern African nations</t>
  </si>
  <si>
    <t>EU nations</t>
  </si>
  <si>
    <t>Middle Eastern nations</t>
  </si>
  <si>
    <t>Eastern Asian nations</t>
  </si>
  <si>
    <t>Southern Asian nations</t>
  </si>
  <si>
    <t>South-East Asian nations</t>
  </si>
  <si>
    <t>Central Asian nations</t>
  </si>
  <si>
    <t>North American nations</t>
  </si>
  <si>
    <t>Central American nations</t>
  </si>
  <si>
    <t>South American nations</t>
  </si>
  <si>
    <t>Caribbean nations</t>
  </si>
  <si>
    <t>Australasian nations</t>
  </si>
  <si>
    <t>Other Oceanian nations</t>
  </si>
  <si>
    <t>Language, migration and national identity</t>
  </si>
  <si>
    <t>Difference</t>
  </si>
  <si>
    <t>Min/Max range</t>
  </si>
  <si>
    <t>This renames ethnic groups, for the summary</t>
  </si>
  <si>
    <t>This is a table of all the Census fields for national identity</t>
  </si>
  <si>
    <t>Of those with a religion, for summary</t>
  </si>
  <si>
    <t>This simplifies qualification category labels, for chart</t>
  </si>
  <si>
    <t>Top 20 national identities</t>
  </si>
  <si>
    <t>Description for footnote</t>
  </si>
  <si>
    <t>Description of "other" categories</t>
  </si>
  <si>
    <t>National identity (detailed, selected)</t>
  </si>
  <si>
    <t xml:space="preserve">Other Australasian identity: Identities other than Australian or New Zealander. </t>
  </si>
  <si>
    <t xml:space="preserve">Other Caribbean identity: Identity other than Jamaican. </t>
  </si>
  <si>
    <t xml:space="preserve">Other North American identity: Identities other than Canadian or US Citizen. </t>
  </si>
  <si>
    <t xml:space="preserve">Other Central and Western African identity: Identities other than Ghanaian or Nigerian. </t>
  </si>
  <si>
    <t xml:space="preserve">Other South and Eastern African identity: Identities other than Kenyan, Somali, South African or Zimbabwean. </t>
  </si>
  <si>
    <t xml:space="preserve">Other Middle Eastern identity: Identities other than Kurdish, Iranian or Iraqi. </t>
  </si>
  <si>
    <t xml:space="preserve">Other Eastern Asian identity: Identities other than Chinese, Hong Kong Chinese or Japanese. </t>
  </si>
  <si>
    <t xml:space="preserve">Other Southern Asian identity: Identities other than Afghan, Bangladeshi, Indian, Pakistani or Sri Lankan. </t>
  </si>
  <si>
    <t xml:space="preserve">Other South-East Asian identity: Identities other than Filipino, Malaysian or Singaporean. </t>
  </si>
  <si>
    <t>Other pre-2004 EU identity</t>
  </si>
  <si>
    <t>Other post-2004 EU identity</t>
  </si>
  <si>
    <t>EU14: members of the EU prior to 2004 (Austria, Belgium, Denmark, Finland, France, Germany, Greece, Republic of Ireland, Italy, Luxembourg, the Netherlands, Portugal, Spain and Sweden). EU8: Countries who joined the EU in 2004 (Czech Republic, Estonia, Hungary, Latvia, Lithuania, Poland, Slovakia and Slovenia). EU2: Bulgaria and Romania, who joined the EU in 2007. All other EU countries: Croatia, Cyprus and Malta.</t>
  </si>
  <si>
    <t xml:space="preserve">Other post-2004 EU identity: Bulgarian, Croatian, Cypriot, Czech, Estonian, Hungarian, Latvian, Maltese, Slovakian or Slovenian. </t>
  </si>
  <si>
    <t>Other pre-2004 EU identity: Austrian, Belgian, Danish, Dutch, Finnish, Greek, Luxembourgish or Swedish.</t>
  </si>
  <si>
    <t>Other non-EU European identity</t>
  </si>
  <si>
    <t xml:space="preserve">Other non-EU European identity: Identities other than Turkish. </t>
  </si>
  <si>
    <t>National identity (top 20)</t>
  </si>
  <si>
    <t>These tables provides labels for core demographic charts where values are likely to be less than 1%, with such values shown as "&lt;1%" instead of 0%</t>
  </si>
  <si>
    <t>You may notice that total figures for each variable differ from the total households and population figures given in the Population and Households Overview table, and between variables even when they're describing the same population. This variation is a result of census data for small areas being adjusted to ensure anonymity of individuals. For example, if a household was likely to be identified in datasets because it has unusual characteristics it was swapped with a similar one from another nearby area, and in some instances small changes may have been made to counts for example changing a  count of four to a three or a five.</t>
  </si>
  <si>
    <t>This area calculates the age ranges with the largest positive and negative cumulative differences between individual age bands.</t>
  </si>
  <si>
    <t>This pulls out the categories used in the top 20 analysis and gives them more meaningful names</t>
  </si>
  <si>
    <t>Concatenated relevant descriptions for footnote</t>
  </si>
  <si>
    <t>This area models primary age, secondary age and other students, based on single-year age profile of area MSOAs</t>
  </si>
  <si>
    <t>Approximated social grade</t>
  </si>
  <si>
    <t>C2: Skilled manual occupations</t>
  </si>
  <si>
    <t>DE: Semi-skilled and unskilled manual occupations; unemployed and lowest grade occupations</t>
  </si>
  <si>
    <t>AB: Higher and intermediate managerial/ administrative/professional occupations</t>
  </si>
  <si>
    <t>C1: Supervisory, clerical and junior managerial/ administrative/professional occupations</t>
  </si>
  <si>
    <t>Value</t>
  </si>
  <si>
    <t>Indicator</t>
  </si>
  <si>
    <t>Category</t>
  </si>
  <si>
    <t>[The Audience Agency logo]</t>
  </si>
  <si>
    <t>Data source:</t>
  </si>
  <si>
    <t>2021 Census Data: England and Wales (Office for National Statistics)</t>
  </si>
  <si>
    <t>Data sources:</t>
  </si>
  <si>
    <t>Audience Spectrum (The Audience Agency) and Mosaic 7 UK (Experian)</t>
  </si>
  <si>
    <t>Local Market Size Estimates (Experian)</t>
  </si>
  <si>
    <t>This report contains data about the population within your target area, compared to the population of the base area.  Your target and base areas are shown on the maps below.</t>
  </si>
  <si>
    <t>The tables show the size of each category within your target area, compared to the size of that category within the base area.</t>
  </si>
  <si>
    <t xml:space="preserve">The index figures show whether each category is over or under represented in your target area compared to the base area. </t>
  </si>
  <si>
    <t>•   An index of 100 occurs when the proportion of a category in your target area exactly matches the size of that category within the base area.</t>
  </si>
  <si>
    <t>•   An index over 100 indicates that this category is over-represented in your target area compared to the base area.</t>
  </si>
  <si>
    <t>•   An index under 100 indicates that this category is under-represented in your target area compared to the base area.</t>
  </si>
  <si>
    <t>•   Indices with a shaded background indicate significant difference between your target area and base area.</t>
  </si>
  <si>
    <r>
      <t xml:space="preserve">-  Indices of 110 or over are highlighted, with the index appearing in </t>
    </r>
    <r>
      <rPr>
        <b/>
        <sz val="11"/>
        <color theme="8"/>
        <rFont val="Calibri"/>
        <family val="2"/>
        <scheme val="minor"/>
      </rPr>
      <t>purple</t>
    </r>
    <r>
      <rPr>
        <sz val="11"/>
        <color theme="1"/>
        <rFont val="Calibri"/>
        <family val="2"/>
        <scheme val="minor"/>
      </rPr>
      <t>.</t>
    </r>
  </si>
  <si>
    <r>
      <t xml:space="preserve">-  Indices of 90 or less are highlighted, with the index appearing in </t>
    </r>
    <r>
      <rPr>
        <b/>
        <sz val="11"/>
        <color theme="5"/>
        <rFont val="Calibri"/>
        <family val="2"/>
        <scheme val="minor"/>
      </rPr>
      <t>orange</t>
    </r>
    <r>
      <rPr>
        <sz val="11"/>
        <color theme="1"/>
        <rFont val="Calibri"/>
        <family val="2"/>
        <scheme val="minor"/>
      </rPr>
      <t>.</t>
    </r>
  </si>
  <si>
    <r>
      <t xml:space="preserve">The figures in  this section of the report are modelled by Experian, based on data from the British Market Research Bureau’s Target Group Index (TGI) survey. Whilst the TGI survey covers a representative sample of the UK population, the figures should be taken as being </t>
    </r>
    <r>
      <rPr>
        <sz val="10"/>
        <color theme="1"/>
        <rFont val="Trebuchet MS"/>
        <family val="2"/>
      </rPr>
      <t>indicative</t>
    </r>
    <r>
      <rPr>
        <i/>
        <sz val="10"/>
        <color theme="1"/>
        <rFont val="Trebuchet MS"/>
        <family val="2"/>
      </rPr>
      <t xml:space="preserve"> of likely levels of activity in your target and base areas rather than a describing </t>
    </r>
    <r>
      <rPr>
        <sz val="10"/>
        <color theme="1"/>
        <rFont val="Trebuchet MS"/>
        <family val="2"/>
      </rPr>
      <t>actual</t>
    </r>
    <r>
      <rPr>
        <i/>
        <sz val="10"/>
        <color theme="1"/>
        <rFont val="Trebuchet MS"/>
        <family val="2"/>
      </rPr>
      <t xml:space="preserve"> instances of attendance or activity.</t>
    </r>
  </si>
  <si>
    <t>15 min drive from BS3 4EA</t>
  </si>
  <si>
    <t>45 min drive from BS3 4EA</t>
  </si>
  <si>
    <t>This question was voluntary on the 2021 Census. The results above do not include people who chose not to answer the question, of which there were 20,409 adults in your target area (7% of residents aged 16 and over) and 73,378 in the base area (6% of residents aged 16 and over).</t>
  </si>
  <si>
    <t>This question was voluntary on the 2021 Census. The results above do not include people who chose not to answer the question, of which there were 26,106 adults in your target area (9% of residents aged 16 and over) and 94,318 in the base area (7% of residents aged 16 and over).</t>
  </si>
  <si>
    <t>This question was voluntary on the 2021 Census. The results above do not include people who chose not to answer the question, of which there were 25,713 adults in your target area (7% of all usual residents) and 100,662 in the base area (6% of all usual residents).</t>
  </si>
  <si>
    <t>Target area: 15 min drive from BS3 4EA</t>
  </si>
  <si>
    <t>Base area: 45 min drive from BS3 4EA</t>
  </si>
  <si>
    <t>Main language is English/Welsh</t>
  </si>
  <si>
    <t>Main language is not English/Welsh</t>
  </si>
  <si>
    <t>Can speak English/Welsh very well</t>
  </si>
  <si>
    <t>Can speak English/Welsh well</t>
  </si>
  <si>
    <t>Cannot speak English/Welsh well</t>
  </si>
  <si>
    <t>Cannot speak English/Welsh</t>
  </si>
  <si>
    <t>Welsh language results only apply to those resident in Wales</t>
  </si>
  <si>
    <t xml:space="preserve">Other post-2004 EU identity: Bulgarian, Croatian, Cypriot, Czech, Estonian, Hungarian, Latvian, Maltese, Slovakian or Slovenian. Other non-EU European identity: Identities other than Turkish. Other pre-2004 EU identity: Austrian, Belgian, Danish, Dutch, Finnish, Greek, Luxembourgish or Swedish.Other Middle Eastern identity: Identities other than Kurdish, Iranian or Iraqi. </t>
  </si>
  <si>
    <r>
      <t xml:space="preserve">If you have any questions about your Population Profile Report, please contact us: </t>
    </r>
    <r>
      <rPr>
        <i/>
        <sz val="11"/>
        <color theme="7"/>
        <rFont val="Calibri"/>
        <family val="2"/>
        <scheme val="minor"/>
      </rPr>
      <t>research@theaudienceagency.org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</si>
</sst>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yyyy"/>
  </numFmts>
  <fonts count="49" x14ac:knownFonts="1">
    <font>
      <sz val="11"/>
      <color theme="1"/>
      <name val="Calibri"/>
      <family val="2"/>
      <scheme val="minor"/>
    </font>
    <font>
      <sz val="10"/>
      <color theme="1"/>
      <name val="Trebuchet MS"/>
      <family val="2"/>
    </font>
    <font>
      <sz val="11"/>
      <color theme="1"/>
      <name val="Calibri"/>
      <family val="2"/>
      <scheme val="minor"/>
    </font>
    <font>
      <sz val="10"/>
      <name val="Arial"/>
      <family val="2"/>
    </font>
    <font>
      <b/>
      <sz val="10"/>
      <color theme="1"/>
      <name val="Trebuchet MS"/>
      <family val="2"/>
    </font>
    <font>
      <b/>
      <sz val="14"/>
      <color theme="1"/>
      <name val="Trebuchet MS"/>
      <family val="2"/>
    </font>
    <font>
      <sz val="14"/>
      <color theme="1"/>
      <name val="Trebuchet MS"/>
      <family val="2"/>
    </font>
    <font>
      <sz val="11"/>
      <color theme="1"/>
      <name val="Trebuchet MS"/>
      <family val="2"/>
    </font>
    <font>
      <b/>
      <sz val="10"/>
      <color theme="0"/>
      <name val="Trebuchet MS"/>
      <family val="2"/>
    </font>
    <font>
      <i/>
      <sz val="8"/>
      <color theme="1"/>
      <name val="Trebuchet MS"/>
      <family val="2"/>
    </font>
    <font>
      <b/>
      <sz val="11"/>
      <color theme="1"/>
      <name val="Trebuchet MS"/>
      <family val="2"/>
    </font>
    <font>
      <i/>
      <sz val="10"/>
      <color theme="1"/>
      <name val="Trebuchet MS"/>
      <family val="2"/>
    </font>
    <font>
      <b/>
      <sz val="11"/>
      <color theme="3"/>
      <name val="Trebuchet MS"/>
      <family val="2"/>
    </font>
    <font>
      <sz val="10"/>
      <color theme="0"/>
      <name val="Trebuchet MS"/>
      <family val="2"/>
    </font>
    <font>
      <sz val="16"/>
      <color theme="3"/>
      <name val="Georgia"/>
      <family val="1"/>
    </font>
    <font>
      <sz val="18"/>
      <color theme="0"/>
      <name val="Georgia"/>
      <family val="1"/>
    </font>
    <font>
      <sz val="11"/>
      <color theme="9"/>
      <name val="Trebuchet MS"/>
      <family val="2"/>
    </font>
    <font>
      <b/>
      <sz val="10"/>
      <color theme="3"/>
      <name val="Trebuchet MS"/>
      <family val="2"/>
    </font>
    <font>
      <sz val="10"/>
      <color theme="3"/>
      <name val="Trebuchet MS"/>
      <family val="2"/>
    </font>
    <font>
      <sz val="10"/>
      <name val="Trebuchet MS"/>
      <family val="2"/>
    </font>
    <font>
      <i/>
      <sz val="6"/>
      <color theme="1"/>
      <name val="Trebuchet MS"/>
      <family val="2"/>
    </font>
    <font>
      <sz val="9"/>
      <color theme="1"/>
      <name val="Trebuchet MS"/>
      <family val="2"/>
    </font>
    <font>
      <b/>
      <sz val="9"/>
      <color theme="1"/>
      <name val="Trebuchet MS"/>
      <family val="2"/>
    </font>
    <font>
      <i/>
      <sz val="11"/>
      <color theme="7"/>
      <name val="Calibri"/>
      <family val="2"/>
      <scheme val="minor"/>
    </font>
    <font>
      <sz val="10"/>
      <color rgb="FFFF0000"/>
      <name val="Trebuchet MS"/>
      <family val="2"/>
    </font>
    <font>
      <sz val="10"/>
      <color theme="1"/>
      <name val="Trebuchet MS"/>
      <family val="2"/>
    </font>
    <font>
      <sz val="10"/>
      <name val="Arial"/>
      <family val="2"/>
    </font>
    <font>
      <sz val="10"/>
      <color theme="4"/>
      <name val="Trebuchet MS"/>
      <family val="2"/>
    </font>
    <font>
      <b/>
      <sz val="10"/>
      <color theme="4"/>
      <name val="Trebuchet MS"/>
      <family val="2"/>
    </font>
    <font>
      <i/>
      <sz val="10"/>
      <color rgb="FFFF0000"/>
      <name val="Trebuchet MS"/>
      <family val="2"/>
    </font>
    <font>
      <sz val="11"/>
      <color rgb="FFFF0000"/>
      <name val="Trebuchet MS"/>
      <family val="2"/>
    </font>
    <font>
      <b/>
      <sz val="10"/>
      <color theme="9"/>
      <name val="Trebuchet MS"/>
      <family val="2"/>
    </font>
    <font>
      <b/>
      <sz val="11"/>
      <color rgb="FFFF0000"/>
      <name val="Trebuchet MS"/>
      <family val="2"/>
    </font>
    <font>
      <sz val="14"/>
      <color rgb="FFFF0000"/>
      <name val="Trebuchet MS"/>
      <family val="2"/>
    </font>
    <font>
      <i/>
      <sz val="9"/>
      <color theme="1"/>
      <name val="Trebuchet MS"/>
      <family val="2"/>
    </font>
    <font>
      <b/>
      <i/>
      <sz val="10"/>
      <color theme="1"/>
      <name val="Trebuchet MS"/>
      <family val="2"/>
    </font>
    <font>
      <i/>
      <sz val="10"/>
      <color theme="4"/>
      <name val="Trebuchet MS"/>
      <family val="2"/>
    </font>
    <font>
      <sz val="10"/>
      <color theme="4"/>
      <name val="Calibri"/>
      <family val="2"/>
      <scheme val="minor"/>
    </font>
    <font>
      <i/>
      <sz val="10"/>
      <color theme="8"/>
      <name val="Trebuchet MS"/>
      <family val="2"/>
    </font>
    <font>
      <b/>
      <sz val="10"/>
      <color theme="4"/>
      <name val="Calibri"/>
      <family val="2"/>
      <scheme val="minor"/>
    </font>
    <font>
      <sz val="10"/>
      <color indexed="8"/>
      <name val="Arial"/>
      <family val="2"/>
    </font>
    <font>
      <sz val="10"/>
      <color indexed="8"/>
      <name val="Trebuchet MS"/>
      <family val="2"/>
    </font>
    <font>
      <b/>
      <sz val="10"/>
      <color indexed="8"/>
      <name val="Trebuchet MS"/>
      <family val="2"/>
    </font>
    <font>
      <b/>
      <i/>
      <sz val="10"/>
      <color theme="4"/>
      <name val="Trebuchet MS"/>
      <family val="2"/>
    </font>
    <font>
      <sz val="10"/>
      <color theme="1" tint="-0.499984740745262"/>
      <name val="Trebuchet MS"/>
      <family val="2"/>
    </font>
    <font>
      <sz val="10"/>
      <color theme="6" tint="-0.499984740745262"/>
      <name val="Trebuchet MS"/>
      <family val="2"/>
    </font>
    <font>
      <i/>
      <sz val="9"/>
      <color theme="7" tint="-0.499984740745262"/>
      <name val="Trebuchet MS"/>
      <family val="2"/>
    </font>
    <font>
      <b/>
      <sz val="11"/>
      <color theme="8"/>
      <name val="Calibri"/>
      <family val="2"/>
      <scheme val="minor"/>
    </font>
    <font>
      <b/>
      <sz val="11"/>
      <color theme="5"/>
      <name val="Calibri"/>
      <family val="2"/>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79998168889431442"/>
        <bgColor indexed="64"/>
      </patternFill>
    </fill>
  </fills>
  <borders count="73">
    <border>
      <left/>
      <right/>
      <top/>
      <bottom/>
      <diagonal/>
    </border>
    <border>
      <left/>
      <right/>
      <top/>
      <bottom style="thin">
        <color theme="0" tint="-4.9989318521683403E-2"/>
      </bottom>
      <diagonal/>
    </border>
    <border>
      <left/>
      <right/>
      <top style="thin">
        <color theme="0" tint="-4.9989318521683403E-2"/>
      </top>
      <bottom style="thin">
        <color theme="0" tint="-4.9989318521683403E-2"/>
      </bottom>
      <diagonal/>
    </border>
    <border>
      <left/>
      <right/>
      <top style="thin">
        <color theme="0" tint="-4.9989318521683403E-2"/>
      </top>
      <bottom/>
      <diagonal/>
    </border>
    <border>
      <left style="thin">
        <color theme="0" tint="-0.14996795556505021"/>
      </left>
      <right/>
      <top/>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style="thin">
        <color theme="0" tint="-0.14996795556505021"/>
      </left>
      <right/>
      <top style="thin">
        <color theme="0"/>
      </top>
      <bottom/>
      <diagonal/>
    </border>
    <border>
      <left/>
      <right style="thin">
        <color theme="0" tint="-0.14996795556505021"/>
      </right>
      <top style="thin">
        <color theme="0"/>
      </top>
      <bottom/>
      <diagonal/>
    </border>
    <border>
      <left style="thin">
        <color theme="0" tint="-0.14996795556505021"/>
      </left>
      <right/>
      <top style="thin">
        <color theme="0" tint="-4.9989318521683403E-2"/>
      </top>
      <bottom style="thin">
        <color theme="0" tint="-4.9989318521683403E-2"/>
      </bottom>
      <diagonal/>
    </border>
    <border>
      <left/>
      <right style="thin">
        <color theme="0" tint="-0.14996795556505021"/>
      </right>
      <top style="thin">
        <color theme="0" tint="-4.9989318521683403E-2"/>
      </top>
      <bottom style="thin">
        <color theme="0" tint="-4.9989318521683403E-2"/>
      </bottom>
      <diagonal/>
    </border>
    <border>
      <left style="thin">
        <color theme="0" tint="-0.14996795556505021"/>
      </left>
      <right style="thin">
        <color theme="0" tint="-4.9989318521683403E-2"/>
      </right>
      <top style="thin">
        <color theme="0"/>
      </top>
      <bottom style="thin">
        <color theme="0" tint="-4.9989318521683403E-2"/>
      </bottom>
      <diagonal/>
    </border>
    <border>
      <left style="thin">
        <color theme="0" tint="-4.9989318521683403E-2"/>
      </left>
      <right style="thin">
        <color theme="0" tint="-0.14996795556505021"/>
      </right>
      <top style="thin">
        <color theme="0"/>
      </top>
      <bottom style="thin">
        <color theme="0" tint="-4.9989318521683403E-2"/>
      </bottom>
      <diagonal/>
    </border>
    <border>
      <left style="thin">
        <color theme="0" tint="-0.1499679555650502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14996795556505021"/>
      </right>
      <top style="thin">
        <color theme="0" tint="-4.9989318521683403E-2"/>
      </top>
      <bottom style="thin">
        <color theme="0" tint="-4.9989318521683403E-2"/>
      </bottom>
      <diagonal/>
    </border>
    <border>
      <left style="thin">
        <color theme="0" tint="-0.14996795556505021"/>
      </left>
      <right style="thin">
        <color theme="0" tint="-4.9989318521683403E-2"/>
      </right>
      <top style="thin">
        <color theme="0" tint="-4.9989318521683403E-2"/>
      </top>
      <bottom style="thin">
        <color theme="1"/>
      </bottom>
      <diagonal/>
    </border>
    <border>
      <left style="thin">
        <color theme="0" tint="-4.9989318521683403E-2"/>
      </left>
      <right style="thin">
        <color theme="0" tint="-0.14996795556505021"/>
      </right>
      <top style="thin">
        <color theme="0" tint="-4.9989318521683403E-2"/>
      </top>
      <bottom style="thin">
        <color theme="1"/>
      </bottom>
      <diagonal/>
    </border>
    <border>
      <left style="thin">
        <color theme="0" tint="-0.14996795556505021"/>
      </left>
      <right style="thin">
        <color theme="1" tint="0.39994506668294322"/>
      </right>
      <top style="thin">
        <color theme="0" tint="-4.9989318521683403E-2"/>
      </top>
      <bottom style="thin">
        <color theme="1"/>
      </bottom>
      <diagonal/>
    </border>
    <border>
      <left/>
      <right style="thin">
        <color theme="0" tint="-4.9989318521683403E-2"/>
      </right>
      <top style="thin">
        <color theme="0"/>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0.14996795556505021"/>
      </left>
      <right style="thin">
        <color theme="1" tint="0.39994506668294322"/>
      </right>
      <top style="thin">
        <color theme="0" tint="-4.9989318521683403E-2"/>
      </top>
      <bottom style="thin">
        <color theme="0" tint="-4.9989318521683403E-2"/>
      </bottom>
      <diagonal/>
    </border>
    <border>
      <left style="thin">
        <color theme="3" tint="0.59996337778862885"/>
      </left>
      <right/>
      <top/>
      <bottom style="thin">
        <color theme="0"/>
      </bottom>
      <diagonal/>
    </border>
    <border>
      <left style="thin">
        <color theme="3" tint="0.79998168889431442"/>
      </left>
      <right/>
      <top/>
      <bottom style="thin">
        <color theme="0"/>
      </bottom>
      <diagonal/>
    </border>
    <border>
      <left/>
      <right style="thin">
        <color theme="3" tint="0.59996337778862885"/>
      </right>
      <top/>
      <bottom style="thin">
        <color theme="0"/>
      </bottom>
      <diagonal/>
    </border>
    <border>
      <left style="thin">
        <color theme="3" tint="0.59996337778862885"/>
      </left>
      <right/>
      <top/>
      <bottom/>
      <diagonal/>
    </border>
    <border>
      <left style="thin">
        <color theme="0" tint="-0.14996795556505021"/>
      </left>
      <right/>
      <top style="thin">
        <color theme="0" tint="-4.9989318521683403E-2"/>
      </top>
      <bottom/>
      <diagonal/>
    </border>
    <border>
      <left/>
      <right style="thin">
        <color theme="0" tint="-0.14996795556505021"/>
      </right>
      <top style="thin">
        <color theme="0" tint="-4.9989318521683403E-2"/>
      </top>
      <bottom/>
      <diagonal/>
    </border>
    <border>
      <left/>
      <right/>
      <top style="thin">
        <color theme="0"/>
      </top>
      <bottom style="thin">
        <color theme="0" tint="-4.9989318521683403E-2"/>
      </bottom>
      <diagonal/>
    </border>
    <border>
      <left/>
      <right style="thin">
        <color theme="0" tint="-0.14996795556505021"/>
      </right>
      <top style="thin">
        <color theme="0"/>
      </top>
      <bottom style="thin">
        <color theme="0" tint="-4.9989318521683403E-2"/>
      </bottom>
      <diagonal/>
    </border>
    <border>
      <left style="thin">
        <color theme="0" tint="-0.14996795556505021"/>
      </left>
      <right/>
      <top style="thin">
        <color theme="0"/>
      </top>
      <bottom style="thin">
        <color theme="0" tint="-4.9989318521683403E-2"/>
      </bottom>
      <diagonal/>
    </border>
    <border>
      <left/>
      <right style="thin">
        <color theme="0" tint="-0.14996795556505021"/>
      </right>
      <top style="thin">
        <color theme="0" tint="-4.9989318521683403E-2"/>
      </top>
      <bottom style="thin">
        <color theme="1"/>
      </bottom>
      <diagonal/>
    </border>
    <border>
      <left style="thin">
        <color theme="0" tint="-0.14996795556505021"/>
      </left>
      <right/>
      <top style="thin">
        <color theme="0" tint="-4.9989318521683403E-2"/>
      </top>
      <bottom style="thin">
        <color theme="1"/>
      </bottom>
      <diagonal/>
    </border>
    <border>
      <left style="thin">
        <color theme="0" tint="-0.14996795556505021"/>
      </left>
      <right/>
      <top style="thin">
        <color theme="1"/>
      </top>
      <bottom style="thin">
        <color theme="1"/>
      </bottom>
      <diagonal/>
    </border>
    <border>
      <left/>
      <right/>
      <top style="thin">
        <color theme="0" tint="-4.9989318521683403E-2"/>
      </top>
      <bottom style="thin">
        <color theme="1"/>
      </bottom>
      <diagonal/>
    </border>
    <border>
      <left/>
      <right style="thin">
        <color theme="1" tint="0.59996337778862885"/>
      </right>
      <top style="thin">
        <color theme="1"/>
      </top>
      <bottom style="thin">
        <color theme="1"/>
      </bottom>
      <diagonal/>
    </border>
    <border>
      <left style="thin">
        <color theme="1" tint="0.79998168889431442"/>
      </left>
      <right/>
      <top style="thin">
        <color theme="1"/>
      </top>
      <bottom style="thin">
        <color theme="1"/>
      </bottom>
      <diagonal/>
    </border>
    <border>
      <left style="thin">
        <color theme="1" tint="0.59996337778862885"/>
      </left>
      <right/>
      <top style="thin">
        <color theme="1"/>
      </top>
      <bottom style="thin">
        <color theme="1"/>
      </bottom>
      <diagonal/>
    </border>
    <border>
      <left style="thin">
        <color theme="0" tint="-0.14996795556505021"/>
      </left>
      <right/>
      <top/>
      <bottom style="thin">
        <color theme="0" tint="-4.9989318521683403E-2"/>
      </bottom>
      <diagonal/>
    </border>
    <border>
      <left/>
      <right style="thin">
        <color theme="0" tint="-0.14996795556505021"/>
      </right>
      <top/>
      <bottom style="thin">
        <color theme="0" tint="-4.9989318521683403E-2"/>
      </bottom>
      <diagonal/>
    </border>
    <border>
      <left/>
      <right style="thin">
        <color theme="3" tint="0.59996337778862885"/>
      </right>
      <top/>
      <bottom/>
      <diagonal/>
    </border>
    <border>
      <left style="thin">
        <color theme="1" tint="0.39994506668294322"/>
      </left>
      <right/>
      <top style="thin">
        <color theme="0" tint="-4.9989318521683403E-2"/>
      </top>
      <bottom style="thin">
        <color theme="0" tint="-4.9989318521683403E-2"/>
      </bottom>
      <diagonal/>
    </border>
    <border>
      <left style="thin">
        <color theme="1" tint="0.39994506668294322"/>
      </left>
      <right/>
      <top style="thin">
        <color theme="0" tint="-4.9989318521683403E-2"/>
      </top>
      <bottom style="thin">
        <color theme="1"/>
      </bottom>
      <diagonal/>
    </border>
    <border>
      <left style="thin">
        <color theme="0" tint="-0.14996795556505021"/>
      </left>
      <right style="thin">
        <color theme="1" tint="0.39994506668294322"/>
      </right>
      <top style="thin">
        <color theme="0" tint="-4.9989318521683403E-2"/>
      </top>
      <bottom/>
      <diagonal/>
    </border>
    <border>
      <left style="thin">
        <color theme="1" tint="0.39994506668294322"/>
      </left>
      <right/>
      <top style="thin">
        <color theme="0" tint="-4.9989318521683403E-2"/>
      </top>
      <bottom/>
      <diagonal/>
    </border>
    <border>
      <left style="thin">
        <color theme="0" tint="-0.14996795556505021"/>
      </left>
      <right style="thin">
        <color theme="1"/>
      </right>
      <top style="thin">
        <color theme="0" tint="-4.9989318521683403E-2"/>
      </top>
      <bottom style="thin">
        <color theme="0" tint="-4.9989318521683403E-2"/>
      </bottom>
      <diagonal/>
    </border>
    <border>
      <left style="thin">
        <color theme="0" tint="-0.14996795556505021"/>
      </left>
      <right style="thin">
        <color theme="1"/>
      </right>
      <top style="thin">
        <color theme="0" tint="-4.9989318521683403E-2"/>
      </top>
      <bottom/>
      <diagonal/>
    </border>
    <border>
      <left style="thin">
        <color theme="0" tint="-0.14996795556505021"/>
      </left>
      <right style="thin">
        <color theme="1"/>
      </right>
      <top/>
      <bottom style="thin">
        <color theme="0" tint="-4.9989318521683403E-2"/>
      </bottom>
      <diagonal/>
    </border>
    <border>
      <left style="thin">
        <color theme="0" tint="-0.14996795556505021"/>
      </left>
      <right style="thin">
        <color theme="1"/>
      </right>
      <top style="thin">
        <color theme="1" tint="0.59996337778862885"/>
      </top>
      <bottom style="thin">
        <color theme="0" tint="-4.9989318521683403E-2"/>
      </bottom>
      <diagonal/>
    </border>
    <border>
      <left/>
      <right/>
      <top style="thin">
        <color theme="1" tint="0.59996337778862885"/>
      </top>
      <bottom style="thin">
        <color theme="0" tint="-4.9989318521683403E-2"/>
      </bottom>
      <diagonal/>
    </border>
    <border>
      <left style="thin">
        <color theme="0" tint="-0.14996795556505021"/>
      </left>
      <right/>
      <top style="thin">
        <color theme="1" tint="0.59996337778862885"/>
      </top>
      <bottom style="thin">
        <color theme="0" tint="-4.9989318521683403E-2"/>
      </bottom>
      <diagonal/>
    </border>
    <border>
      <left/>
      <right style="thin">
        <color theme="0" tint="-0.14996795556505021"/>
      </right>
      <top style="thin">
        <color theme="1" tint="0.59996337778862885"/>
      </top>
      <bottom style="thin">
        <color theme="0" tint="-4.9989318521683403E-2"/>
      </bottom>
      <diagonal/>
    </border>
    <border>
      <left style="thin">
        <color theme="0" tint="-0.14996795556505021"/>
      </left>
      <right style="thin">
        <color theme="1"/>
      </right>
      <top style="thin">
        <color theme="0" tint="-4.9989318521683403E-2"/>
      </top>
      <bottom style="thin">
        <color theme="1" tint="0.59996337778862885"/>
      </bottom>
      <diagonal/>
    </border>
    <border>
      <left/>
      <right/>
      <top style="thin">
        <color theme="0" tint="-4.9989318521683403E-2"/>
      </top>
      <bottom style="thin">
        <color theme="1" tint="0.59996337778862885"/>
      </bottom>
      <diagonal/>
    </border>
    <border>
      <left style="thin">
        <color theme="0" tint="-0.14996795556505021"/>
      </left>
      <right/>
      <top style="thin">
        <color theme="0" tint="-4.9989318521683403E-2"/>
      </top>
      <bottom style="thin">
        <color theme="1" tint="0.59996337778862885"/>
      </bottom>
      <diagonal/>
    </border>
    <border>
      <left/>
      <right style="thin">
        <color theme="0" tint="-0.14996795556505021"/>
      </right>
      <top style="thin">
        <color theme="0" tint="-4.9989318521683403E-2"/>
      </top>
      <bottom style="thin">
        <color theme="1" tint="0.59996337778862885"/>
      </bottom>
      <diagonal/>
    </border>
    <border>
      <left style="thin">
        <color theme="3" tint="0.79998168889431442"/>
      </left>
      <right/>
      <top/>
      <bottom/>
      <diagonal/>
    </border>
    <border>
      <left style="thin">
        <color theme="0" tint="-0.14996795556505021"/>
      </left>
      <right style="thin">
        <color theme="1" tint="0.39994506668294322"/>
      </right>
      <top style="thin">
        <color theme="0" tint="-0.14993743705557422"/>
      </top>
      <bottom style="thin">
        <color theme="0" tint="-4.9989318521683403E-2"/>
      </bottom>
      <diagonal/>
    </border>
    <border>
      <left style="thin">
        <color theme="1" tint="0.39994506668294322"/>
      </left>
      <right/>
      <top style="thin">
        <color theme="0" tint="-0.14993743705557422"/>
      </top>
      <bottom style="thin">
        <color theme="0" tint="-4.9989318521683403E-2"/>
      </bottom>
      <diagonal/>
    </border>
    <border>
      <left/>
      <right style="thin">
        <color theme="0" tint="-0.14996795556505021"/>
      </right>
      <top style="thin">
        <color theme="0" tint="-0.14993743705557422"/>
      </top>
      <bottom style="thin">
        <color theme="0" tint="-4.9989318521683403E-2"/>
      </bottom>
      <diagonal/>
    </border>
    <border>
      <left/>
      <right/>
      <top style="thin">
        <color theme="0" tint="-0.14993743705557422"/>
      </top>
      <bottom style="thin">
        <color theme="0" tint="-4.9989318521683403E-2"/>
      </bottom>
      <diagonal/>
    </border>
    <border>
      <left/>
      <right style="thin">
        <color theme="0" tint="-4.9989318521683403E-2"/>
      </right>
      <top style="thin">
        <color theme="0" tint="-4.9989318521683403E-2"/>
      </top>
      <bottom/>
      <diagonal/>
    </border>
    <border>
      <left style="thin">
        <color theme="0" tint="-0.14996795556505021"/>
      </left>
      <right style="thin">
        <color theme="1" tint="0.39994506668294322"/>
      </right>
      <top style="thin">
        <color theme="0" tint="-0.14993743705557422"/>
      </top>
      <bottom style="thin">
        <color theme="1"/>
      </bottom>
      <diagonal/>
    </border>
    <border>
      <left/>
      <right style="thin">
        <color theme="0" tint="-4.9989318521683403E-2"/>
      </right>
      <top style="thin">
        <color theme="0" tint="-0.14993743705557422"/>
      </top>
      <bottom style="thin">
        <color theme="1"/>
      </bottom>
      <diagonal/>
    </border>
    <border>
      <left/>
      <right style="thin">
        <color theme="0" tint="-0.14996795556505021"/>
      </right>
      <top style="thin">
        <color theme="0" tint="-0.14993743705557422"/>
      </top>
      <bottom style="thin">
        <color theme="1"/>
      </bottom>
      <diagonal/>
    </border>
    <border>
      <left style="thin">
        <color theme="0" tint="-0.14996795556505021"/>
      </left>
      <right/>
      <top style="thin">
        <color theme="0" tint="-0.14993743705557422"/>
      </top>
      <bottom style="thin">
        <color theme="1"/>
      </bottom>
      <diagonal/>
    </border>
    <border>
      <left style="thin">
        <color theme="0" tint="-0.14996795556505021"/>
      </left>
      <right style="thin">
        <color theme="3" tint="0.79998168889431442"/>
      </right>
      <top/>
      <bottom/>
      <diagonal/>
    </border>
    <border>
      <left/>
      <right style="thin">
        <color theme="3" tint="0.79998168889431442"/>
      </right>
      <top/>
      <bottom/>
      <diagonal/>
    </border>
    <border>
      <left style="thin">
        <color theme="0" tint="-4.9989318521683403E-2"/>
      </left>
      <right style="thin">
        <color theme="0" tint="-0.14996795556505021"/>
      </right>
      <top style="thin">
        <color theme="0" tint="-4.9989318521683403E-2"/>
      </top>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right style="thin">
        <color theme="0" tint="-0.14996795556505021"/>
      </right>
      <top/>
      <bottom/>
      <diagonal/>
    </border>
  </borders>
  <cellStyleXfs count="10">
    <xf numFmtId="0" fontId="0" fillId="0" borderId="0"/>
    <xf numFmtId="9" fontId="2" fillId="0" borderId="0" applyFont="0" applyFill="0" applyBorder="0" applyAlignment="0" applyProtection="0"/>
    <xf numFmtId="0" fontId="3" fillId="0" borderId="0"/>
    <xf numFmtId="0" fontId="3" fillId="0" borderId="0"/>
    <xf numFmtId="0" fontId="3" fillId="0" borderId="0"/>
    <xf numFmtId="0" fontId="1" fillId="0" borderId="0">
      <alignment vertical="center"/>
      <protection locked="0"/>
    </xf>
    <xf numFmtId="9" fontId="1" fillId="0" borderId="0" applyFill="0" applyBorder="0" applyAlignment="0" applyProtection="0"/>
    <xf numFmtId="0" fontId="14" fillId="0" borderId="0" applyNumberFormat="0" applyFill="0" applyBorder="0" applyAlignment="0" applyProtection="0"/>
    <xf numFmtId="0" fontId="26" fillId="0" borderId="0"/>
    <xf numFmtId="0" fontId="40" fillId="0" borderId="0"/>
  </cellStyleXfs>
  <cellXfs count="295">
    <xf numFmtId="0" fontId="0" fillId="0" borderId="0" xfId="0"/>
    <xf numFmtId="0" fontId="1" fillId="0" borderId="0" xfId="0" applyFont="1"/>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left"/>
    </xf>
    <xf numFmtId="9" fontId="1" fillId="2" borderId="0" xfId="1" applyFont="1" applyFill="1"/>
    <xf numFmtId="3" fontId="5" fillId="2" borderId="0" xfId="4" applyNumberFormat="1" applyFont="1" applyFill="1" applyAlignment="1" applyProtection="1">
      <alignment horizontal="left" wrapText="1"/>
      <protection locked="0"/>
    </xf>
    <xf numFmtId="0" fontId="6" fillId="2" borderId="0" xfId="0" applyFont="1" applyFill="1"/>
    <xf numFmtId="0" fontId="7" fillId="2" borderId="0" xfId="0" applyFont="1" applyFill="1"/>
    <xf numFmtId="3" fontId="4" fillId="2" borderId="0" xfId="4" applyNumberFormat="1" applyFont="1" applyFill="1" applyAlignment="1" applyProtection="1">
      <alignment wrapText="1"/>
      <protection locked="0"/>
    </xf>
    <xf numFmtId="1" fontId="1" fillId="2" borderId="0" xfId="0" applyNumberFormat="1" applyFont="1" applyFill="1"/>
    <xf numFmtId="3" fontId="4" fillId="2" borderId="0" xfId="4" applyNumberFormat="1" applyFont="1" applyFill="1" applyAlignment="1" applyProtection="1">
      <alignment horizontal="left" wrapText="1"/>
      <protection locked="0"/>
    </xf>
    <xf numFmtId="3" fontId="10" fillId="2" borderId="0" xfId="4" applyNumberFormat="1" applyFont="1" applyFill="1" applyAlignment="1" applyProtection="1">
      <alignment wrapText="1"/>
      <protection locked="0"/>
    </xf>
    <xf numFmtId="0" fontId="1" fillId="2" borderId="0" xfId="0" applyFont="1" applyFill="1" applyAlignment="1">
      <alignment horizontal="left" wrapText="1"/>
    </xf>
    <xf numFmtId="0" fontId="1" fillId="2" borderId="0" xfId="0" applyFont="1" applyFill="1" applyAlignment="1">
      <alignment wrapText="1"/>
    </xf>
    <xf numFmtId="0" fontId="11" fillId="2" borderId="0" xfId="0" applyFont="1" applyFill="1"/>
    <xf numFmtId="0" fontId="7" fillId="2" borderId="0" xfId="4" applyFont="1" applyFill="1"/>
    <xf numFmtId="3" fontId="12" fillId="2" borderId="0" xfId="4" applyNumberFormat="1" applyFont="1" applyFill="1" applyAlignment="1" applyProtection="1">
      <alignment wrapText="1"/>
      <protection locked="0"/>
    </xf>
    <xf numFmtId="3" fontId="1" fillId="2" borderId="0" xfId="4" applyNumberFormat="1" applyFont="1" applyFill="1" applyAlignment="1" applyProtection="1">
      <alignment horizontal="left" wrapText="1"/>
      <protection locked="0"/>
    </xf>
    <xf numFmtId="3" fontId="16" fillId="2" borderId="0" xfId="4" applyNumberFormat="1" applyFont="1" applyFill="1" applyAlignment="1" applyProtection="1">
      <alignment wrapText="1"/>
      <protection locked="0"/>
    </xf>
    <xf numFmtId="0" fontId="19" fillId="2" borderId="0" xfId="0" applyFont="1" applyFill="1"/>
    <xf numFmtId="3" fontId="4" fillId="2" borderId="0" xfId="4" applyNumberFormat="1" applyFont="1" applyFill="1" applyProtection="1">
      <protection locked="0"/>
    </xf>
    <xf numFmtId="0" fontId="1" fillId="0" borderId="0" xfId="0" applyFont="1" applyAlignment="1">
      <alignment horizontal="left"/>
    </xf>
    <xf numFmtId="2" fontId="1" fillId="2" borderId="0" xfId="1" applyNumberFormat="1" applyFont="1" applyFill="1"/>
    <xf numFmtId="0" fontId="21" fillId="2" borderId="0" xfId="0" applyFont="1" applyFill="1" applyAlignment="1">
      <alignment wrapText="1"/>
    </xf>
    <xf numFmtId="0" fontId="22" fillId="2" borderId="0" xfId="0" applyFont="1" applyFill="1" applyAlignment="1">
      <alignment vertical="center" wrapText="1"/>
    </xf>
    <xf numFmtId="0" fontId="21" fillId="2" borderId="0" xfId="0" applyFont="1" applyFill="1"/>
    <xf numFmtId="0" fontId="4" fillId="0" borderId="0" xfId="0" applyFont="1"/>
    <xf numFmtId="3" fontId="1" fillId="0" borderId="12" xfId="1" applyNumberFormat="1" applyFont="1" applyBorder="1" applyAlignment="1">
      <alignment horizontal="center" vertical="center"/>
    </xf>
    <xf numFmtId="9" fontId="1" fillId="0" borderId="13" xfId="1" applyFont="1" applyBorder="1" applyAlignment="1">
      <alignment horizontal="center" vertical="center"/>
    </xf>
    <xf numFmtId="3" fontId="1" fillId="0" borderId="14" xfId="1" applyNumberFormat="1" applyFont="1" applyBorder="1" applyAlignment="1">
      <alignment horizontal="center" vertical="center"/>
    </xf>
    <xf numFmtId="9" fontId="1" fillId="0" borderId="15" xfId="1" applyFont="1" applyBorder="1" applyAlignment="1">
      <alignment horizontal="center" vertical="center"/>
    </xf>
    <xf numFmtId="3" fontId="1" fillId="0" borderId="16" xfId="1" applyNumberFormat="1" applyFont="1" applyBorder="1" applyAlignment="1">
      <alignment horizontal="center" vertical="center"/>
    </xf>
    <xf numFmtId="9" fontId="1" fillId="0" borderId="17" xfId="1" applyFont="1" applyBorder="1" applyAlignment="1">
      <alignment horizontal="center" vertical="center"/>
    </xf>
    <xf numFmtId="3" fontId="1" fillId="0" borderId="19" xfId="1" applyNumberFormat="1" applyFont="1" applyBorder="1" applyAlignment="1">
      <alignment horizontal="center" vertical="center"/>
    </xf>
    <xf numFmtId="3" fontId="1" fillId="0" borderId="20" xfId="1" applyNumberFormat="1" applyFont="1" applyBorder="1" applyAlignment="1">
      <alignment horizontal="center" vertical="center"/>
    </xf>
    <xf numFmtId="0" fontId="13" fillId="4" borderId="22"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24" xfId="0" applyFont="1" applyFill="1" applyBorder="1" applyAlignment="1">
      <alignment horizontal="center" vertical="center" wrapText="1"/>
    </xf>
    <xf numFmtId="3" fontId="1" fillId="0" borderId="26" xfId="1" applyNumberFormat="1" applyFont="1" applyBorder="1" applyAlignment="1">
      <alignment horizontal="center" vertical="center"/>
    </xf>
    <xf numFmtId="9" fontId="1" fillId="0" borderId="27" xfId="1" applyFont="1" applyBorder="1" applyAlignment="1">
      <alignment horizontal="center" vertical="center"/>
    </xf>
    <xf numFmtId="3" fontId="1" fillId="2" borderId="21" xfId="0" applyNumberFormat="1" applyFont="1" applyFill="1" applyBorder="1" applyAlignment="1">
      <alignment vertical="center"/>
    </xf>
    <xf numFmtId="3" fontId="1" fillId="2" borderId="18" xfId="0" applyNumberFormat="1" applyFont="1" applyFill="1" applyBorder="1" applyAlignment="1">
      <alignment vertical="center"/>
    </xf>
    <xf numFmtId="3" fontId="1" fillId="0" borderId="10" xfId="1" applyNumberFormat="1" applyFont="1" applyBorder="1" applyAlignment="1">
      <alignment horizontal="center" vertical="center"/>
    </xf>
    <xf numFmtId="9" fontId="1" fillId="0" borderId="11" xfId="1" applyFont="1" applyBorder="1" applyAlignment="1">
      <alignment horizontal="center" vertical="center"/>
    </xf>
    <xf numFmtId="0" fontId="9" fillId="2" borderId="0" xfId="0" applyFont="1" applyFill="1" applyAlignment="1">
      <alignment horizontal="left" wrapText="1"/>
    </xf>
    <xf numFmtId="0" fontId="1" fillId="2" borderId="0" xfId="0" applyFont="1" applyFill="1" applyAlignment="1">
      <alignment horizontal="left" vertical="center"/>
    </xf>
    <xf numFmtId="1" fontId="1" fillId="2" borderId="29" xfId="0" applyNumberFormat="1" applyFont="1" applyFill="1" applyBorder="1" applyAlignment="1">
      <alignment horizontal="left" vertical="center"/>
    </xf>
    <xf numFmtId="1" fontId="13" fillId="3" borderId="6" xfId="0" applyNumberFormat="1" applyFont="1" applyFill="1" applyBorder="1" applyAlignment="1">
      <alignment horizontal="left" vertical="center"/>
    </xf>
    <xf numFmtId="0" fontId="7" fillId="2" borderId="0" xfId="0" applyFont="1" applyFill="1" applyAlignment="1">
      <alignment horizontal="left" vertical="center"/>
    </xf>
    <xf numFmtId="9" fontId="1" fillId="0" borderId="29" xfId="1" applyFont="1" applyBorder="1" applyAlignment="1">
      <alignment horizontal="center" vertical="center"/>
    </xf>
    <xf numFmtId="3" fontId="1" fillId="0" borderId="30" xfId="1" applyNumberFormat="1" applyFont="1" applyBorder="1" applyAlignment="1">
      <alignment horizontal="center" vertical="center"/>
    </xf>
    <xf numFmtId="3" fontId="1" fillId="0" borderId="2" xfId="1" applyNumberFormat="1" applyFont="1" applyBorder="1" applyAlignment="1">
      <alignment horizontal="center" vertical="center"/>
    </xf>
    <xf numFmtId="9" fontId="1" fillId="2" borderId="0" xfId="1" applyFont="1" applyFill="1" applyAlignment="1">
      <alignment horizontal="left" vertical="center"/>
    </xf>
    <xf numFmtId="3" fontId="1" fillId="0" borderId="34" xfId="1" applyNumberFormat="1" applyFont="1" applyBorder="1" applyAlignment="1">
      <alignment horizontal="center" vertical="center"/>
    </xf>
    <xf numFmtId="9" fontId="1" fillId="0" borderId="31" xfId="1" applyFont="1" applyBorder="1" applyAlignment="1">
      <alignment horizontal="center" vertical="center"/>
    </xf>
    <xf numFmtId="0" fontId="7" fillId="2" borderId="0" xfId="0" applyFont="1" applyFill="1" applyAlignment="1">
      <alignment vertical="center"/>
    </xf>
    <xf numFmtId="3" fontId="1" fillId="0" borderId="3" xfId="1" applyNumberFormat="1" applyFont="1" applyBorder="1" applyAlignment="1">
      <alignment horizontal="center" vertical="center"/>
    </xf>
    <xf numFmtId="3" fontId="4" fillId="2" borderId="0" xfId="4" applyNumberFormat="1" applyFont="1" applyFill="1" applyAlignment="1" applyProtection="1">
      <alignment horizontal="left" vertical="center" wrapText="1"/>
      <protection locked="0"/>
    </xf>
    <xf numFmtId="0" fontId="11" fillId="2" borderId="0" xfId="0" applyFont="1" applyFill="1" applyAlignment="1">
      <alignment wrapText="1"/>
    </xf>
    <xf numFmtId="1" fontId="13" fillId="3" borderId="5" xfId="0" applyNumberFormat="1" applyFont="1" applyFill="1" applyBorder="1" applyAlignment="1">
      <alignment horizontal="left" vertical="center"/>
    </xf>
    <xf numFmtId="2" fontId="13" fillId="0" borderId="7" xfId="0" applyNumberFormat="1" applyFont="1" applyBorder="1" applyAlignment="1">
      <alignment horizontal="left" vertical="center" wrapText="1"/>
    </xf>
    <xf numFmtId="3" fontId="13" fillId="0" borderId="7" xfId="0" applyNumberFormat="1" applyFont="1" applyBorder="1" applyAlignment="1">
      <alignment horizontal="center" vertical="center"/>
    </xf>
    <xf numFmtId="1" fontId="13" fillId="0" borderId="7" xfId="0" applyNumberFormat="1" applyFont="1" applyBorder="1" applyAlignment="1">
      <alignment horizontal="left" vertical="center"/>
    </xf>
    <xf numFmtId="2" fontId="13" fillId="3" borderId="33" xfId="0" applyNumberFormat="1" applyFont="1" applyFill="1" applyBorder="1" applyAlignment="1">
      <alignment horizontal="left" vertical="center" wrapText="1"/>
    </xf>
    <xf numFmtId="3" fontId="1" fillId="0" borderId="8" xfId="1" applyNumberFormat="1" applyFont="1" applyBorder="1" applyAlignment="1">
      <alignment horizontal="center" vertical="center"/>
    </xf>
    <xf numFmtId="9" fontId="1" fillId="0" borderId="9" xfId="1" applyFont="1" applyBorder="1" applyAlignment="1">
      <alignment horizontal="center" vertical="center"/>
    </xf>
    <xf numFmtId="3" fontId="1" fillId="0" borderId="1" xfId="1" applyNumberFormat="1" applyFont="1" applyBorder="1" applyAlignment="1">
      <alignment horizontal="center" vertical="center"/>
    </xf>
    <xf numFmtId="3" fontId="1" fillId="0" borderId="20" xfId="1" applyNumberFormat="1" applyFont="1" applyFill="1" applyBorder="1" applyAlignment="1">
      <alignment horizontal="center" vertical="center"/>
    </xf>
    <xf numFmtId="0" fontId="1" fillId="0" borderId="21" xfId="0" applyFont="1" applyBorder="1" applyAlignment="1">
      <alignment vertical="center" wrapText="1"/>
    </xf>
    <xf numFmtId="3" fontId="1" fillId="0" borderId="41" xfId="1" applyNumberFormat="1" applyFont="1" applyBorder="1" applyAlignment="1">
      <alignment horizontal="center" vertical="center"/>
    </xf>
    <xf numFmtId="0" fontId="1" fillId="0" borderId="18" xfId="0" applyFont="1" applyBorder="1" applyAlignment="1">
      <alignment vertical="center" wrapText="1"/>
    </xf>
    <xf numFmtId="3" fontId="1" fillId="0" borderId="42" xfId="1" applyNumberFormat="1" applyFont="1" applyBorder="1" applyAlignment="1">
      <alignment horizontal="center" vertical="center"/>
    </xf>
    <xf numFmtId="0" fontId="1" fillId="2" borderId="21" xfId="0" applyFont="1" applyFill="1" applyBorder="1" applyAlignment="1">
      <alignment vertical="center" wrapText="1"/>
    </xf>
    <xf numFmtId="0" fontId="1" fillId="2" borderId="18" xfId="0" applyFont="1" applyFill="1" applyBorder="1" applyAlignment="1">
      <alignment vertical="center" wrapText="1"/>
    </xf>
    <xf numFmtId="3" fontId="1" fillId="2" borderId="21" xfId="0" applyNumberFormat="1" applyFont="1" applyFill="1" applyBorder="1" applyAlignment="1">
      <alignment vertical="center" wrapText="1"/>
    </xf>
    <xf numFmtId="3" fontId="1" fillId="2" borderId="18" xfId="0" applyNumberFormat="1" applyFont="1" applyFill="1" applyBorder="1" applyAlignment="1">
      <alignment vertical="center" wrapText="1"/>
    </xf>
    <xf numFmtId="3" fontId="1" fillId="0" borderId="41" xfId="1" applyNumberFormat="1" applyFont="1" applyFill="1" applyBorder="1" applyAlignment="1">
      <alignment horizontal="center" vertical="center"/>
    </xf>
    <xf numFmtId="3" fontId="1" fillId="0" borderId="38" xfId="1" applyNumberFormat="1" applyFont="1" applyBorder="1" applyAlignment="1">
      <alignment horizontal="center" vertical="center"/>
    </xf>
    <xf numFmtId="9" fontId="1" fillId="0" borderId="39" xfId="1" applyFont="1" applyBorder="1" applyAlignment="1">
      <alignment horizontal="center" vertical="center"/>
    </xf>
    <xf numFmtId="0" fontId="1" fillId="2" borderId="0" xfId="0" applyFont="1" applyFill="1" applyAlignment="1">
      <alignment horizontal="left" vertical="center" wrapText="1"/>
    </xf>
    <xf numFmtId="0" fontId="1" fillId="2" borderId="43" xfId="0" applyFont="1" applyFill="1" applyBorder="1" applyAlignment="1">
      <alignment vertical="center" wrapText="1"/>
    </xf>
    <xf numFmtId="3" fontId="1" fillId="0" borderId="44" xfId="1" applyNumberFormat="1" applyFont="1" applyBorder="1" applyAlignment="1">
      <alignment horizontal="center" vertical="center"/>
    </xf>
    <xf numFmtId="3" fontId="1" fillId="2" borderId="21" xfId="0" applyNumberFormat="1" applyFont="1" applyFill="1" applyBorder="1" applyAlignment="1">
      <alignment horizontal="left" vertical="center" wrapText="1"/>
    </xf>
    <xf numFmtId="3" fontId="12" fillId="2" borderId="0" xfId="4" applyNumberFormat="1" applyFont="1" applyFill="1" applyAlignment="1" applyProtection="1">
      <alignment vertical="center"/>
      <protection locked="0"/>
    </xf>
    <xf numFmtId="3" fontId="4" fillId="2" borderId="0" xfId="4" applyNumberFormat="1" applyFont="1" applyFill="1" applyAlignment="1" applyProtection="1">
      <alignment horizontal="center" vertical="center" wrapText="1"/>
      <protection locked="0"/>
    </xf>
    <xf numFmtId="0" fontId="1" fillId="2" borderId="0" xfId="0" applyFont="1" applyFill="1" applyAlignment="1">
      <alignment horizontal="center" vertical="center"/>
    </xf>
    <xf numFmtId="3" fontId="1" fillId="2" borderId="45" xfId="0" applyNumberFormat="1" applyFont="1" applyFill="1" applyBorder="1" applyAlignment="1">
      <alignment vertical="center" wrapText="1"/>
    </xf>
    <xf numFmtId="3" fontId="1" fillId="2" borderId="46" xfId="0" applyNumberFormat="1" applyFont="1" applyFill="1" applyBorder="1" applyAlignment="1">
      <alignment vertical="center" wrapText="1"/>
    </xf>
    <xf numFmtId="3" fontId="1" fillId="0" borderId="32" xfId="1" applyNumberFormat="1" applyFont="1" applyBorder="1" applyAlignment="1">
      <alignment horizontal="center" vertical="center"/>
    </xf>
    <xf numFmtId="9" fontId="1" fillId="2" borderId="0" xfId="1" applyFont="1" applyFill="1" applyAlignment="1">
      <alignment horizontal="center" vertical="center"/>
    </xf>
    <xf numFmtId="3" fontId="1" fillId="2" borderId="0" xfId="4" applyNumberFormat="1" applyFont="1" applyFill="1" applyAlignment="1" applyProtection="1">
      <alignment horizontal="left" vertical="center" wrapText="1"/>
      <protection locked="0"/>
    </xf>
    <xf numFmtId="3" fontId="1" fillId="2" borderId="0" xfId="4" applyNumberFormat="1" applyFont="1" applyFill="1" applyAlignment="1" applyProtection="1">
      <alignment horizontal="center" vertical="center" wrapText="1"/>
      <protection locked="0"/>
    </xf>
    <xf numFmtId="3" fontId="1" fillId="2" borderId="45" xfId="0" applyNumberFormat="1" applyFont="1" applyFill="1" applyBorder="1" applyAlignment="1">
      <alignment horizontal="left" vertical="center" wrapText="1" indent="2"/>
    </xf>
    <xf numFmtId="1" fontId="1" fillId="2" borderId="9" xfId="0" applyNumberFormat="1" applyFont="1" applyFill="1" applyBorder="1" applyAlignment="1">
      <alignment horizontal="left" vertical="center"/>
    </xf>
    <xf numFmtId="3" fontId="1" fillId="2" borderId="47" xfId="0" applyNumberFormat="1" applyFont="1" applyFill="1" applyBorder="1" applyAlignment="1">
      <alignment vertical="center" wrapText="1"/>
    </xf>
    <xf numFmtId="3" fontId="1" fillId="2" borderId="48" xfId="0" applyNumberFormat="1" applyFont="1" applyFill="1" applyBorder="1" applyAlignment="1">
      <alignment vertical="center" wrapText="1"/>
    </xf>
    <xf numFmtId="3" fontId="1" fillId="0" borderId="49" xfId="1" applyNumberFormat="1" applyFont="1" applyBorder="1" applyAlignment="1">
      <alignment horizontal="center" vertical="center"/>
    </xf>
    <xf numFmtId="3" fontId="1" fillId="0" borderId="50" xfId="1" applyNumberFormat="1" applyFont="1" applyBorder="1" applyAlignment="1">
      <alignment horizontal="center" vertical="center"/>
    </xf>
    <xf numFmtId="9" fontId="1" fillId="0" borderId="51" xfId="1" applyFont="1" applyBorder="1" applyAlignment="1">
      <alignment horizontal="center" vertical="center"/>
    </xf>
    <xf numFmtId="3" fontId="1" fillId="2" borderId="52" xfId="0" applyNumberFormat="1" applyFont="1" applyFill="1" applyBorder="1" applyAlignment="1">
      <alignment vertical="center" wrapText="1"/>
    </xf>
    <xf numFmtId="3" fontId="1" fillId="0" borderId="53" xfId="1" applyNumberFormat="1" applyFont="1" applyBorder="1" applyAlignment="1">
      <alignment horizontal="center" vertical="center"/>
    </xf>
    <xf numFmtId="3" fontId="1" fillId="0" borderId="54" xfId="1" applyNumberFormat="1" applyFont="1" applyBorder="1" applyAlignment="1">
      <alignment horizontal="center" vertical="center"/>
    </xf>
    <xf numFmtId="9" fontId="1" fillId="0" borderId="55" xfId="1" applyFont="1" applyBorder="1" applyAlignment="1">
      <alignment horizontal="center" vertical="center"/>
    </xf>
    <xf numFmtId="0" fontId="1" fillId="2" borderId="57" xfId="0" applyFont="1" applyFill="1" applyBorder="1" applyAlignment="1">
      <alignment vertical="center" wrapText="1"/>
    </xf>
    <xf numFmtId="3" fontId="1" fillId="0" borderId="58" xfId="1" applyNumberFormat="1" applyFont="1" applyBorder="1" applyAlignment="1">
      <alignment horizontal="center" vertical="center"/>
    </xf>
    <xf numFmtId="9" fontId="1" fillId="0" borderId="59" xfId="1" applyFont="1" applyBorder="1" applyAlignment="1">
      <alignment horizontal="center" vertical="center"/>
    </xf>
    <xf numFmtId="3" fontId="1" fillId="0" borderId="60" xfId="1" applyNumberFormat="1" applyFont="1" applyBorder="1" applyAlignment="1">
      <alignment horizontal="center" vertical="center"/>
    </xf>
    <xf numFmtId="0" fontId="1" fillId="2" borderId="43" xfId="0" applyFont="1" applyFill="1" applyBorder="1" applyAlignment="1">
      <alignment horizontal="left" vertical="center" wrapText="1" indent="1"/>
    </xf>
    <xf numFmtId="0" fontId="29" fillId="2" borderId="0" xfId="0" applyFont="1" applyFill="1"/>
    <xf numFmtId="3" fontId="1" fillId="2" borderId="45" xfId="0" applyNumberFormat="1" applyFont="1" applyFill="1" applyBorder="1" applyAlignment="1">
      <alignment horizontal="left" vertical="center" wrapText="1" indent="1"/>
    </xf>
    <xf numFmtId="3" fontId="1" fillId="2" borderId="46" xfId="0" applyNumberFormat="1" applyFont="1" applyFill="1" applyBorder="1" applyAlignment="1">
      <alignment horizontal="left" vertical="center" wrapText="1" indent="1"/>
    </xf>
    <xf numFmtId="0" fontId="27" fillId="0" borderId="0" xfId="0" applyFont="1"/>
    <xf numFmtId="0" fontId="24" fillId="2" borderId="0" xfId="0" applyFont="1" applyFill="1"/>
    <xf numFmtId="0" fontId="30" fillId="2" borderId="0" xfId="0" applyFont="1" applyFill="1"/>
    <xf numFmtId="3" fontId="31" fillId="2" borderId="0" xfId="4" applyNumberFormat="1" applyFont="1" applyFill="1" applyAlignment="1" applyProtection="1">
      <alignment wrapText="1"/>
      <protection locked="0"/>
    </xf>
    <xf numFmtId="3" fontId="4" fillId="2" borderId="0" xfId="0" applyNumberFormat="1" applyFont="1" applyFill="1" applyAlignment="1">
      <alignment horizontal="center"/>
    </xf>
    <xf numFmtId="0" fontId="11" fillId="2" borderId="0" xfId="0" applyFont="1" applyFill="1" applyAlignment="1">
      <alignment horizontal="left" wrapText="1"/>
    </xf>
    <xf numFmtId="0" fontId="24" fillId="0" borderId="0" xfId="0" applyFont="1"/>
    <xf numFmtId="0" fontId="32" fillId="2" borderId="0" xfId="0" applyFont="1" applyFill="1"/>
    <xf numFmtId="0" fontId="33" fillId="2" borderId="0" xfId="0" applyFont="1" applyFill="1"/>
    <xf numFmtId="0" fontId="30" fillId="0" borderId="0" xfId="0" applyFont="1"/>
    <xf numFmtId="3" fontId="1" fillId="2" borderId="43" xfId="0" applyNumberFormat="1" applyFont="1" applyFill="1" applyBorder="1" applyAlignment="1">
      <alignment vertical="center"/>
    </xf>
    <xf numFmtId="3" fontId="1" fillId="0" borderId="61" xfId="1" applyNumberFormat="1" applyFont="1" applyBorder="1" applyAlignment="1">
      <alignment horizontal="center" vertical="center"/>
    </xf>
    <xf numFmtId="3" fontId="11" fillId="2" borderId="62" xfId="0" applyNumberFormat="1" applyFont="1" applyFill="1" applyBorder="1" applyAlignment="1">
      <alignment vertical="center"/>
    </xf>
    <xf numFmtId="3" fontId="11" fillId="0" borderId="63" xfId="1" applyNumberFormat="1" applyFont="1" applyBorder="1" applyAlignment="1">
      <alignment horizontal="center" vertical="center"/>
    </xf>
    <xf numFmtId="9" fontId="11" fillId="0" borderId="64" xfId="1" applyFont="1" applyBorder="1" applyAlignment="1">
      <alignment horizontal="center" vertical="center"/>
    </xf>
    <xf numFmtId="3" fontId="11" fillId="0" borderId="65" xfId="1" applyNumberFormat="1" applyFont="1" applyBorder="1" applyAlignment="1">
      <alignment horizontal="center" vertical="center"/>
    </xf>
    <xf numFmtId="1" fontId="11" fillId="2" borderId="64" xfId="0" applyNumberFormat="1" applyFont="1" applyFill="1" applyBorder="1" applyAlignment="1">
      <alignment horizontal="left" vertical="center"/>
    </xf>
    <xf numFmtId="0" fontId="4" fillId="2" borderId="0" xfId="0" applyFont="1" applyFill="1" applyAlignment="1">
      <alignment horizontal="left" wrapText="1"/>
    </xf>
    <xf numFmtId="3" fontId="1" fillId="2" borderId="21" xfId="0" applyNumberFormat="1" applyFont="1" applyFill="1" applyBorder="1" applyAlignment="1">
      <alignment horizontal="left" vertical="center" wrapText="1" indent="1"/>
    </xf>
    <xf numFmtId="0" fontId="29" fillId="0" borderId="0" xfId="0" applyFont="1"/>
    <xf numFmtId="9" fontId="1" fillId="0" borderId="0" xfId="1" applyFont="1" applyFill="1"/>
    <xf numFmtId="0" fontId="25" fillId="0" borderId="0" xfId="0" applyFont="1" applyAlignment="1">
      <alignment horizontal="left"/>
    </xf>
    <xf numFmtId="9" fontId="25" fillId="0" borderId="0" xfId="1" applyFont="1" applyFill="1"/>
    <xf numFmtId="0" fontId="25" fillId="0" borderId="0" xfId="0" applyFont="1"/>
    <xf numFmtId="3" fontId="4" fillId="0" borderId="0" xfId="4" applyNumberFormat="1" applyFont="1" applyAlignment="1" applyProtection="1">
      <alignment horizontal="left" wrapText="1"/>
      <protection locked="0"/>
    </xf>
    <xf numFmtId="3" fontId="10" fillId="0" borderId="0" xfId="4" applyNumberFormat="1" applyFont="1" applyAlignment="1" applyProtection="1">
      <alignment vertical="center" wrapText="1"/>
      <protection locked="0"/>
    </xf>
    <xf numFmtId="3" fontId="10" fillId="0" borderId="0" xfId="4" applyNumberFormat="1" applyFont="1" applyAlignment="1" applyProtection="1">
      <alignment horizontal="left" vertical="center" wrapText="1"/>
      <protection locked="0"/>
    </xf>
    <xf numFmtId="0" fontId="25" fillId="0" borderId="0" xfId="0" applyFont="1" applyAlignment="1">
      <alignment vertical="center"/>
    </xf>
    <xf numFmtId="3" fontId="17" fillId="0" borderId="0" xfId="4" applyNumberFormat="1" applyFont="1" applyAlignment="1" applyProtection="1">
      <alignment horizontal="left"/>
      <protection locked="0"/>
    </xf>
    <xf numFmtId="0" fontId="1" fillId="0" borderId="0" xfId="0" applyFont="1" applyAlignment="1">
      <alignment vertical="center"/>
    </xf>
    <xf numFmtId="0" fontId="34" fillId="2" borderId="0" xfId="0" applyFont="1" applyFill="1" applyAlignment="1">
      <alignment horizontal="left" wrapText="1"/>
    </xf>
    <xf numFmtId="3" fontId="12" fillId="2" borderId="0" xfId="4" applyNumberFormat="1" applyFont="1" applyFill="1" applyProtection="1">
      <protection locked="0"/>
    </xf>
    <xf numFmtId="3" fontId="4" fillId="2" borderId="0" xfId="4" applyNumberFormat="1" applyFont="1" applyFill="1" applyAlignment="1" applyProtection="1">
      <alignment vertical="center"/>
      <protection locked="0"/>
    </xf>
    <xf numFmtId="0" fontId="34" fillId="2" borderId="0" xfId="0" applyFont="1" applyFill="1" applyAlignment="1">
      <alignment wrapText="1"/>
    </xf>
    <xf numFmtId="0" fontId="1" fillId="2" borderId="21" xfId="0" applyFont="1" applyFill="1" applyBorder="1" applyAlignment="1">
      <alignment horizontal="left" vertical="center" wrapText="1" indent="1"/>
    </xf>
    <xf numFmtId="0" fontId="1" fillId="2" borderId="21" xfId="0" applyFont="1" applyFill="1" applyBorder="1" applyAlignment="1">
      <alignment horizontal="left" vertical="center" wrapText="1" indent="3"/>
    </xf>
    <xf numFmtId="0" fontId="27" fillId="0" borderId="0" xfId="0" applyFont="1" applyAlignment="1">
      <alignment horizontal="right"/>
    </xf>
    <xf numFmtId="2" fontId="13" fillId="0" borderId="0" xfId="0" applyNumberFormat="1" applyFont="1" applyAlignment="1">
      <alignment horizontal="left" vertical="center" wrapText="1"/>
    </xf>
    <xf numFmtId="3" fontId="13" fillId="0" borderId="0" xfId="0" applyNumberFormat="1" applyFont="1" applyAlignment="1">
      <alignment horizontal="center" vertical="center"/>
    </xf>
    <xf numFmtId="1" fontId="13" fillId="0" borderId="0" xfId="0" applyNumberFormat="1" applyFont="1" applyAlignment="1">
      <alignment horizontal="left" vertical="center"/>
    </xf>
    <xf numFmtId="9" fontId="1" fillId="0" borderId="68" xfId="1" applyFont="1" applyBorder="1" applyAlignment="1">
      <alignment horizontal="center" vertical="center"/>
    </xf>
    <xf numFmtId="0" fontId="27" fillId="0" borderId="0" xfId="0" applyFont="1" applyAlignment="1">
      <alignment vertical="center"/>
    </xf>
    <xf numFmtId="0" fontId="28" fillId="0" borderId="0" xfId="0" applyFont="1"/>
    <xf numFmtId="3" fontId="1" fillId="0" borderId="0" xfId="0" applyNumberFormat="1" applyFont="1" applyAlignment="1">
      <alignment vertical="center"/>
    </xf>
    <xf numFmtId="3" fontId="4" fillId="2" borderId="0" xfId="4" applyNumberFormat="1" applyFont="1" applyFill="1" applyAlignment="1" applyProtection="1">
      <alignment horizontal="left"/>
      <protection locked="0"/>
    </xf>
    <xf numFmtId="3" fontId="12" fillId="0" borderId="0" xfId="4" applyNumberFormat="1" applyFont="1" applyAlignment="1" applyProtection="1">
      <alignment horizontal="left" vertical="center" wrapText="1"/>
      <protection locked="0"/>
    </xf>
    <xf numFmtId="3" fontId="12" fillId="0" borderId="0" xfId="4" applyNumberFormat="1" applyFont="1" applyAlignment="1" applyProtection="1">
      <alignment horizontal="left" wrapText="1"/>
      <protection locked="0"/>
    </xf>
    <xf numFmtId="0" fontId="1" fillId="0" borderId="0" xfId="0" applyFont="1" applyAlignment="1">
      <alignment horizontal="left" vertical="center" wrapText="1" indent="2"/>
    </xf>
    <xf numFmtId="3" fontId="4" fillId="0" borderId="0" xfId="4" applyNumberFormat="1" applyFont="1" applyAlignment="1" applyProtection="1">
      <alignment horizontal="center" wrapText="1"/>
      <protection locked="0"/>
    </xf>
    <xf numFmtId="3" fontId="7" fillId="0" borderId="0" xfId="4" applyNumberFormat="1" applyFont="1" applyAlignment="1" applyProtection="1">
      <alignment horizontal="left" vertical="center" wrapText="1"/>
      <protection locked="0"/>
    </xf>
    <xf numFmtId="164" fontId="7" fillId="0" borderId="0" xfId="4" applyNumberFormat="1" applyFont="1" applyAlignment="1" applyProtection="1">
      <alignment horizontal="left" vertical="center" wrapText="1"/>
      <protection locked="0"/>
    </xf>
    <xf numFmtId="0" fontId="1" fillId="0" borderId="0" xfId="0" applyFont="1" applyAlignment="1">
      <alignment horizontal="left" vertical="center" wrapText="1" indent="5"/>
    </xf>
    <xf numFmtId="0" fontId="1" fillId="0" borderId="0" xfId="0" applyFont="1" applyAlignment="1">
      <alignment horizontal="left" wrapText="1"/>
    </xf>
    <xf numFmtId="3" fontId="35" fillId="0" borderId="0" xfId="4" applyNumberFormat="1" applyFont="1" applyAlignment="1" applyProtection="1">
      <alignment horizontal="left" vertical="center" wrapText="1"/>
      <protection locked="0"/>
    </xf>
    <xf numFmtId="0" fontId="11" fillId="2" borderId="0" xfId="0" applyFont="1" applyFill="1" applyAlignment="1">
      <alignment horizontal="right" vertical="center"/>
    </xf>
    <xf numFmtId="3" fontId="1" fillId="0" borderId="0" xfId="1" applyNumberFormat="1" applyFont="1" applyFill="1" applyBorder="1" applyAlignment="1">
      <alignment horizontal="center" vertical="center"/>
    </xf>
    <xf numFmtId="9" fontId="1" fillId="0" borderId="0" xfId="1" applyFont="1" applyFill="1" applyBorder="1" applyAlignment="1">
      <alignment horizontal="center" vertical="center"/>
    </xf>
    <xf numFmtId="3" fontId="1" fillId="2" borderId="45" xfId="0" applyNumberFormat="1" applyFont="1" applyFill="1" applyBorder="1" applyAlignment="1">
      <alignment horizontal="left" vertical="center" wrapText="1"/>
    </xf>
    <xf numFmtId="0" fontId="42" fillId="0" borderId="0" xfId="9" applyFont="1" applyAlignment="1">
      <alignment horizontal="left"/>
    </xf>
    <xf numFmtId="0" fontId="41" fillId="0" borderId="0" xfId="9" applyFont="1" applyAlignment="1">
      <alignment horizontal="left"/>
    </xf>
    <xf numFmtId="9" fontId="27" fillId="0" borderId="0" xfId="1" applyFont="1" applyFill="1" applyAlignment="1"/>
    <xf numFmtId="0" fontId="24" fillId="0" borderId="0" xfId="9" applyFont="1" applyAlignment="1">
      <alignment horizontal="left"/>
    </xf>
    <xf numFmtId="0" fontId="21" fillId="0" borderId="0" xfId="0" applyFont="1"/>
    <xf numFmtId="3" fontId="28" fillId="0" borderId="0" xfId="4" applyNumberFormat="1" applyFont="1" applyAlignment="1" applyProtection="1">
      <alignment horizontal="left" vertical="center"/>
      <protection locked="0"/>
    </xf>
    <xf numFmtId="3" fontId="28" fillId="0" borderId="0" xfId="0" applyNumberFormat="1" applyFont="1" applyAlignment="1">
      <alignment horizontal="center" vertical="center"/>
    </xf>
    <xf numFmtId="0" fontId="27" fillId="0" borderId="0" xfId="0" applyFont="1" applyAlignment="1">
      <alignment horizontal="center" vertical="center"/>
    </xf>
    <xf numFmtId="3" fontId="27" fillId="0" borderId="0" xfId="0" applyNumberFormat="1" applyFont="1" applyAlignment="1">
      <alignment vertical="center"/>
    </xf>
    <xf numFmtId="3" fontId="27" fillId="0" borderId="0" xfId="1" applyNumberFormat="1" applyFont="1" applyFill="1" applyBorder="1" applyAlignment="1">
      <alignment horizontal="center" vertical="center"/>
    </xf>
    <xf numFmtId="9" fontId="27" fillId="0" borderId="0" xfId="1" applyFont="1" applyFill="1" applyBorder="1" applyAlignment="1">
      <alignment horizontal="center" vertical="center"/>
    </xf>
    <xf numFmtId="1" fontId="27" fillId="0" borderId="0" xfId="0" applyNumberFormat="1" applyFont="1" applyAlignment="1">
      <alignment horizontal="left" vertical="center"/>
    </xf>
    <xf numFmtId="3" fontId="27" fillId="0" borderId="0" xfId="0" applyNumberFormat="1" applyFont="1" applyAlignment="1">
      <alignment horizontal="left" vertical="center"/>
    </xf>
    <xf numFmtId="2" fontId="27" fillId="0" borderId="0" xfId="0" applyNumberFormat="1" applyFont="1" applyAlignment="1">
      <alignment horizontal="left" vertical="center"/>
    </xf>
    <xf numFmtId="3" fontId="27" fillId="0" borderId="0" xfId="0" applyNumberFormat="1" applyFont="1" applyAlignment="1">
      <alignment horizontal="center" vertical="center"/>
    </xf>
    <xf numFmtId="3" fontId="28" fillId="0" borderId="0" xfId="4" applyNumberFormat="1" applyFont="1" applyAlignment="1" applyProtection="1">
      <alignment vertical="center"/>
      <protection locked="0"/>
    </xf>
    <xf numFmtId="0" fontId="28" fillId="0" borderId="0" xfId="0" applyFont="1" applyAlignment="1">
      <alignment vertical="center"/>
    </xf>
    <xf numFmtId="0" fontId="27" fillId="0" borderId="0" xfId="9" applyFont="1" applyAlignment="1">
      <alignment horizontal="left"/>
    </xf>
    <xf numFmtId="0" fontId="27" fillId="0" borderId="0" xfId="0" applyFont="1" applyAlignment="1">
      <alignment horizontal="left" vertical="center"/>
    </xf>
    <xf numFmtId="9" fontId="27" fillId="0" borderId="0" xfId="1" applyFont="1" applyFill="1" applyBorder="1" applyAlignment="1">
      <alignment horizontal="right" vertical="center"/>
    </xf>
    <xf numFmtId="3" fontId="36" fillId="0" borderId="0" xfId="0" applyNumberFormat="1" applyFont="1" applyAlignment="1">
      <alignment horizontal="right"/>
    </xf>
    <xf numFmtId="0" fontId="36" fillId="0" borderId="0" xfId="0" applyFont="1" applyAlignment="1">
      <alignment horizontal="left"/>
    </xf>
    <xf numFmtId="0" fontId="27" fillId="0" borderId="0" xfId="0" applyFont="1" applyAlignment="1">
      <alignment vertical="top"/>
    </xf>
    <xf numFmtId="9" fontId="27" fillId="0" borderId="0" xfId="0" applyNumberFormat="1" applyFont="1" applyAlignment="1">
      <alignment vertical="top"/>
    </xf>
    <xf numFmtId="3" fontId="28" fillId="0" borderId="0" xfId="0" applyNumberFormat="1" applyFont="1" applyAlignment="1">
      <alignment vertical="center"/>
    </xf>
    <xf numFmtId="0" fontId="34" fillId="0" borderId="0" xfId="0" applyFont="1" applyAlignment="1">
      <alignment vertical="center"/>
    </xf>
    <xf numFmtId="0" fontId="38" fillId="0" borderId="0" xfId="0" applyFont="1"/>
    <xf numFmtId="0" fontId="43" fillId="0" borderId="0" xfId="0" applyFont="1"/>
    <xf numFmtId="49" fontId="27" fillId="0" borderId="0" xfId="0" applyNumberFormat="1" applyFont="1"/>
    <xf numFmtId="9" fontId="27" fillId="0" borderId="0" xfId="0" applyNumberFormat="1" applyFont="1"/>
    <xf numFmtId="9" fontId="1" fillId="0" borderId="0" xfId="1" applyFont="1" applyFill="1" applyAlignment="1"/>
    <xf numFmtId="3" fontId="27" fillId="0" borderId="0" xfId="0" applyNumberFormat="1" applyFont="1"/>
    <xf numFmtId="9" fontId="27" fillId="0" borderId="0" xfId="1" applyFont="1" applyFill="1" applyBorder="1" applyAlignment="1"/>
    <xf numFmtId="3" fontId="28" fillId="0" borderId="0" xfId="4" applyNumberFormat="1" applyFont="1" applyAlignment="1" applyProtection="1">
      <alignment horizontal="left"/>
      <protection locked="0"/>
    </xf>
    <xf numFmtId="1" fontId="27" fillId="0" borderId="0" xfId="0" applyNumberFormat="1" applyFont="1"/>
    <xf numFmtId="0" fontId="36" fillId="0" borderId="0" xfId="0" applyFont="1"/>
    <xf numFmtId="3" fontId="36" fillId="0" borderId="0" xfId="0" applyNumberFormat="1" applyFont="1"/>
    <xf numFmtId="0" fontId="11" fillId="0" borderId="0" xfId="0" applyFont="1"/>
    <xf numFmtId="0" fontId="37" fillId="0" borderId="0" xfId="0" applyFont="1"/>
    <xf numFmtId="0" fontId="39" fillId="0" borderId="0" xfId="0" applyFont="1"/>
    <xf numFmtId="9" fontId="28" fillId="0" borderId="0" xfId="0" applyNumberFormat="1" applyFont="1"/>
    <xf numFmtId="9" fontId="31" fillId="2" borderId="0" xfId="4" applyNumberFormat="1" applyFont="1" applyFill="1" applyAlignment="1" applyProtection="1">
      <alignment wrapText="1"/>
      <protection locked="0"/>
    </xf>
    <xf numFmtId="9" fontId="4" fillId="2" borderId="0" xfId="4" applyNumberFormat="1" applyFont="1" applyFill="1" applyAlignment="1" applyProtection="1">
      <alignment horizontal="left" wrapText="1"/>
      <protection locked="0"/>
    </xf>
    <xf numFmtId="9" fontId="4" fillId="2" borderId="0" xfId="4" applyNumberFormat="1" applyFont="1" applyFill="1" applyAlignment="1" applyProtection="1">
      <alignment wrapText="1"/>
      <protection locked="0"/>
    </xf>
    <xf numFmtId="9" fontId="1" fillId="2" borderId="0" xfId="0" applyNumberFormat="1" applyFont="1" applyFill="1"/>
    <xf numFmtId="9" fontId="34" fillId="2" borderId="0" xfId="0" applyNumberFormat="1" applyFont="1" applyFill="1" applyAlignment="1">
      <alignment horizontal="left" wrapText="1"/>
    </xf>
    <xf numFmtId="9" fontId="4" fillId="2" borderId="0" xfId="4" applyNumberFormat="1" applyFont="1" applyFill="1" applyAlignment="1" applyProtection="1">
      <alignment horizontal="center" vertical="center" wrapText="1"/>
      <protection locked="0"/>
    </xf>
    <xf numFmtId="9" fontId="1" fillId="0" borderId="2" xfId="1" applyFont="1" applyBorder="1" applyAlignment="1">
      <alignment horizontal="center" vertical="center"/>
    </xf>
    <xf numFmtId="9" fontId="11" fillId="2" borderId="0" xfId="0" applyNumberFormat="1" applyFont="1" applyFill="1" applyAlignment="1">
      <alignment horizontal="left" wrapText="1"/>
    </xf>
    <xf numFmtId="9" fontId="11" fillId="2" borderId="0" xfId="0" applyNumberFormat="1" applyFont="1" applyFill="1" applyAlignment="1">
      <alignment wrapText="1"/>
    </xf>
    <xf numFmtId="9" fontId="1" fillId="2" borderId="0" xfId="4" applyNumberFormat="1" applyFont="1" applyFill="1" applyAlignment="1" applyProtection="1">
      <alignment horizontal="center" vertical="center" wrapText="1"/>
      <protection locked="0"/>
    </xf>
    <xf numFmtId="9" fontId="1" fillId="0" borderId="3" xfId="1" applyFont="1" applyBorder="1" applyAlignment="1">
      <alignment horizontal="center" vertical="center"/>
    </xf>
    <xf numFmtId="9" fontId="1" fillId="0" borderId="49" xfId="1" applyFont="1" applyBorder="1" applyAlignment="1">
      <alignment horizontal="center" vertical="center"/>
    </xf>
    <xf numFmtId="9" fontId="1" fillId="0" borderId="53" xfId="1" applyFont="1" applyBorder="1" applyAlignment="1">
      <alignment horizontal="center" vertical="center"/>
    </xf>
    <xf numFmtId="9" fontId="1" fillId="0" borderId="1" xfId="1" applyFont="1" applyBorder="1" applyAlignment="1">
      <alignment horizontal="center" vertical="center"/>
    </xf>
    <xf numFmtId="9" fontId="4" fillId="2" borderId="0" xfId="0" applyNumberFormat="1" applyFont="1" applyFill="1" applyAlignment="1">
      <alignment horizontal="center"/>
    </xf>
    <xf numFmtId="9" fontId="1" fillId="2" borderId="0" xfId="0" applyNumberFormat="1" applyFont="1" applyFill="1" applyAlignment="1">
      <alignment horizontal="left" vertical="center" wrapText="1"/>
    </xf>
    <xf numFmtId="3" fontId="13" fillId="3" borderId="37" xfId="0" applyNumberFormat="1" applyFont="1" applyFill="1" applyBorder="1" applyAlignment="1">
      <alignment horizontal="center" vertical="center"/>
    </xf>
    <xf numFmtId="3" fontId="13" fillId="3" borderId="35" xfId="0" applyNumberFormat="1" applyFont="1" applyFill="1" applyBorder="1" applyAlignment="1">
      <alignment horizontal="center" vertical="center"/>
    </xf>
    <xf numFmtId="3" fontId="13" fillId="3" borderId="36" xfId="0" applyNumberFormat="1" applyFont="1" applyFill="1" applyBorder="1" applyAlignment="1">
      <alignment horizontal="center" vertical="center"/>
    </xf>
    <xf numFmtId="3" fontId="8" fillId="4" borderId="56" xfId="0" applyNumberFormat="1" applyFont="1" applyFill="1" applyBorder="1" applyAlignment="1">
      <alignment horizontal="center" vertical="center" wrapText="1"/>
    </xf>
    <xf numFmtId="3" fontId="8" fillId="4" borderId="40" xfId="0" applyNumberFormat="1" applyFont="1" applyFill="1" applyBorder="1" applyAlignment="1">
      <alignment horizontal="center" vertical="center" wrapText="1"/>
    </xf>
    <xf numFmtId="0" fontId="11" fillId="2" borderId="7" xfId="0" applyFont="1" applyFill="1" applyBorder="1" applyAlignment="1">
      <alignment horizontal="left" wrapText="1"/>
    </xf>
    <xf numFmtId="1" fontId="1" fillId="0" borderId="32" xfId="1" applyNumberFormat="1" applyFont="1" applyBorder="1" applyAlignment="1">
      <alignment horizontal="center" vertical="center"/>
    </xf>
    <xf numFmtId="1" fontId="1" fillId="0" borderId="31" xfId="1" applyNumberFormat="1" applyFont="1" applyBorder="1" applyAlignment="1">
      <alignment horizontal="center" vertical="center"/>
    </xf>
    <xf numFmtId="1" fontId="1" fillId="0" borderId="28" xfId="1" applyNumberFormat="1" applyFont="1" applyBorder="1" applyAlignment="1">
      <alignment horizontal="center" vertical="center"/>
    </xf>
    <xf numFmtId="1" fontId="1" fillId="0" borderId="29" xfId="1" applyNumberFormat="1" applyFont="1" applyBorder="1" applyAlignment="1">
      <alignment horizontal="center" vertical="center"/>
    </xf>
    <xf numFmtId="3" fontId="13" fillId="3" borderId="35" xfId="0" applyNumberFormat="1" applyFont="1" applyFill="1" applyBorder="1" applyAlignment="1">
      <alignment vertical="center"/>
    </xf>
    <xf numFmtId="0" fontId="8" fillId="4" borderId="25"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72" xfId="0" applyFont="1" applyFill="1" applyBorder="1" applyAlignment="1">
      <alignment horizontal="center" vertical="center" wrapText="1"/>
    </xf>
    <xf numFmtId="3" fontId="18" fillId="4" borderId="4" xfId="4" applyNumberFormat="1" applyFont="1" applyFill="1" applyBorder="1" applyAlignment="1" applyProtection="1">
      <alignment horizontal="left" vertical="center" wrapText="1"/>
      <protection locked="0"/>
    </xf>
    <xf numFmtId="0" fontId="45" fillId="0" borderId="0" xfId="0" applyFont="1" applyAlignment="1">
      <alignment horizontal="left"/>
    </xf>
    <xf numFmtId="0" fontId="44" fillId="5" borderId="0" xfId="0" applyFont="1" applyFill="1"/>
    <xf numFmtId="0" fontId="44" fillId="0" borderId="0" xfId="0" applyFont="1"/>
    <xf numFmtId="3" fontId="8" fillId="4" borderId="67" xfId="0" applyNumberFormat="1" applyFont="1" applyFill="1" applyBorder="1" applyAlignment="1">
      <alignment horizontal="center" vertical="center" wrapText="1"/>
    </xf>
    <xf numFmtId="3" fontId="8" fillId="4" borderId="4" xfId="4" applyNumberFormat="1" applyFont="1" applyFill="1" applyBorder="1" applyAlignment="1" applyProtection="1">
      <alignment wrapText="1"/>
      <protection locked="0"/>
    </xf>
    <xf numFmtId="0" fontId="44" fillId="5" borderId="0" xfId="0" applyFont="1" applyFill="1" applyAlignment="1">
      <alignment horizontal="left"/>
    </xf>
    <xf numFmtId="9" fontId="44" fillId="5" borderId="0" xfId="1" applyFont="1" applyFill="1"/>
    <xf numFmtId="0" fontId="44" fillId="5" borderId="0" xfId="0" applyFont="1" applyFill="1" applyAlignment="1">
      <alignment horizontal="left" vertical="center"/>
    </xf>
    <xf numFmtId="3" fontId="8" fillId="4" borderId="4" xfId="4" applyNumberFormat="1" applyFont="1" applyFill="1" applyBorder="1" applyAlignment="1" applyProtection="1">
      <alignment horizontal="left" vertical="center" wrapText="1"/>
      <protection locked="0"/>
    </xf>
    <xf numFmtId="3" fontId="8" fillId="4" borderId="4" xfId="4" applyNumberFormat="1" applyFont="1" applyFill="1" applyBorder="1" applyAlignment="1" applyProtection="1">
      <alignment vertical="center" wrapText="1"/>
      <protection locked="0"/>
    </xf>
    <xf numFmtId="3" fontId="4" fillId="2" borderId="0" xfId="4" applyNumberFormat="1" applyFont="1" applyFill="1" applyAlignment="1" applyProtection="1">
      <alignment vertical="center" wrapText="1"/>
      <protection locked="0"/>
    </xf>
    <xf numFmtId="3" fontId="8" fillId="4" borderId="66" xfId="4" applyNumberFormat="1" applyFont="1" applyFill="1" applyBorder="1" applyAlignment="1" applyProtection="1">
      <alignment vertical="center" wrapText="1"/>
      <protection locked="0"/>
    </xf>
    <xf numFmtId="0" fontId="44" fillId="0" borderId="0" xfId="0" applyFont="1" applyAlignment="1">
      <alignment horizontal="left"/>
    </xf>
    <xf numFmtId="9" fontId="44" fillId="0" borderId="0" xfId="1" applyFont="1" applyFill="1"/>
    <xf numFmtId="0" fontId="44" fillId="0" borderId="0" xfId="0" applyFont="1" applyAlignment="1">
      <alignment horizontal="left" vertical="center"/>
    </xf>
    <xf numFmtId="0" fontId="1" fillId="0" borderId="0" xfId="0" quotePrefix="1" applyFont="1" applyAlignment="1">
      <alignment horizontal="left" vertical="center" wrapText="1" indent="5"/>
    </xf>
    <xf numFmtId="0" fontId="1" fillId="0" borderId="0" xfId="0" applyFont="1" applyAlignment="1">
      <alignment horizontal="left" vertical="center" wrapText="1" indent="5"/>
    </xf>
    <xf numFmtId="0" fontId="1" fillId="0" borderId="0" xfId="0" applyFont="1" applyAlignment="1">
      <alignment horizontal="left" vertical="center" wrapText="1"/>
    </xf>
    <xf numFmtId="0" fontId="1" fillId="0" borderId="0" xfId="0" applyFont="1" applyAlignment="1">
      <alignment horizontal="left" vertical="center" wrapText="1" indent="2"/>
    </xf>
    <xf numFmtId="3" fontId="12" fillId="0" borderId="0" xfId="4" applyNumberFormat="1" applyFont="1" applyAlignment="1" applyProtection="1">
      <alignment horizontal="left" wrapText="1"/>
      <protection locked="0"/>
    </xf>
    <xf numFmtId="3" fontId="4" fillId="0" borderId="0" xfId="4" applyNumberFormat="1" applyFont="1" applyAlignment="1" applyProtection="1">
      <alignment horizontal="center" wrapText="1"/>
      <protection locked="0"/>
    </xf>
    <xf numFmtId="0" fontId="1" fillId="0" borderId="0" xfId="0" applyFont="1" applyAlignment="1">
      <alignment horizontal="left" wrapText="1"/>
    </xf>
    <xf numFmtId="3" fontId="1" fillId="0" borderId="0" xfId="4" applyNumberFormat="1" applyFont="1" applyAlignment="1" applyProtection="1">
      <alignment horizontal="left" vertical="center" wrapText="1"/>
      <protection locked="0"/>
    </xf>
    <xf numFmtId="0" fontId="15" fillId="4" borderId="0" xfId="0" applyFont="1" applyFill="1" applyAlignment="1">
      <alignment horizontal="left" vertical="center"/>
    </xf>
    <xf numFmtId="0" fontId="1" fillId="0" borderId="0" xfId="0" applyFont="1" applyAlignment="1">
      <alignment horizontal="left" vertical="top" wrapText="1"/>
    </xf>
    <xf numFmtId="3" fontId="7" fillId="0" borderId="0" xfId="4" applyNumberFormat="1" applyFont="1" applyAlignment="1" applyProtection="1">
      <alignment horizontal="left" vertical="center" wrapText="1"/>
      <protection locked="0"/>
    </xf>
    <xf numFmtId="14" fontId="7" fillId="0" borderId="0" xfId="4" applyNumberFormat="1" applyFont="1" applyAlignment="1" applyProtection="1">
      <alignment horizontal="left" vertical="center" wrapText="1"/>
      <protection locked="0"/>
    </xf>
    <xf numFmtId="3" fontId="35" fillId="0" borderId="0" xfId="4" applyNumberFormat="1" applyFont="1" applyAlignment="1" applyProtection="1">
      <alignment horizontal="left" vertical="center" wrapText="1"/>
      <protection locked="0"/>
    </xf>
    <xf numFmtId="3" fontId="12" fillId="0" borderId="0" xfId="4" applyNumberFormat="1" applyFont="1" applyAlignment="1" applyProtection="1">
      <alignment horizontal="left" vertical="center" wrapText="1"/>
      <protection locked="0"/>
    </xf>
    <xf numFmtId="0" fontId="9" fillId="2" borderId="7" xfId="0" applyFont="1" applyFill="1" applyBorder="1" applyAlignment="1">
      <alignment horizontal="left" wrapText="1"/>
    </xf>
    <xf numFmtId="3" fontId="20" fillId="2" borderId="0" xfId="4" applyNumberFormat="1" applyFont="1" applyFill="1" applyAlignment="1" applyProtection="1">
      <alignment horizontal="left" vertical="top" wrapText="1"/>
      <protection locked="0"/>
    </xf>
    <xf numFmtId="0" fontId="1" fillId="2" borderId="0" xfId="0" applyFont="1" applyFill="1" applyAlignment="1">
      <alignment horizontal="left" vertical="center" wrapText="1"/>
    </xf>
    <xf numFmtId="0" fontId="1" fillId="2" borderId="0" xfId="0" applyFont="1" applyFill="1" applyAlignment="1">
      <alignment horizontal="left" vertical="center" wrapText="1" indent="2"/>
    </xf>
    <xf numFmtId="3" fontId="34" fillId="2" borderId="0" xfId="4" applyNumberFormat="1" applyFont="1" applyFill="1" applyAlignment="1" applyProtection="1">
      <alignment horizontal="left" vertical="top" wrapText="1"/>
      <protection locked="0"/>
    </xf>
    <xf numFmtId="0" fontId="15" fillId="4" borderId="0" xfId="0" applyFont="1" applyFill="1" applyAlignment="1">
      <alignment horizontal="left" vertical="center" wrapText="1"/>
    </xf>
    <xf numFmtId="3" fontId="4" fillId="2" borderId="0" xfId="4" applyNumberFormat="1" applyFont="1" applyFill="1" applyAlignment="1" applyProtection="1">
      <alignment horizontal="left" wrapText="1"/>
      <protection locked="0"/>
    </xf>
    <xf numFmtId="0" fontId="34" fillId="2" borderId="0" xfId="0" applyFont="1" applyFill="1" applyAlignment="1">
      <alignment wrapText="1"/>
    </xf>
    <xf numFmtId="3" fontId="34" fillId="2" borderId="7" xfId="4" applyNumberFormat="1" applyFont="1" applyFill="1" applyBorder="1" applyAlignment="1" applyProtection="1">
      <alignment horizontal="left" vertical="top" wrapText="1"/>
      <protection locked="0"/>
    </xf>
    <xf numFmtId="0" fontId="46" fillId="2" borderId="0" xfId="0" applyFont="1" applyFill="1"/>
    <xf numFmtId="0" fontId="34" fillId="2" borderId="7" xfId="0" applyFont="1" applyFill="1" applyBorder="1" applyAlignment="1">
      <alignment horizontal="left" wrapText="1"/>
    </xf>
    <xf numFmtId="0" fontId="34" fillId="2" borderId="0" xfId="0" applyFont="1" applyFill="1" applyAlignment="1">
      <alignment horizontal="left" vertical="center" wrapText="1"/>
    </xf>
    <xf numFmtId="0" fontId="34" fillId="2" borderId="7" xfId="0" applyFont="1" applyFill="1" applyBorder="1" applyAlignment="1">
      <alignment horizontal="left" vertical="top" wrapText="1"/>
    </xf>
    <xf numFmtId="0" fontId="1" fillId="2" borderId="0" xfId="0" applyFont="1" applyFill="1" applyAlignment="1">
      <alignment horizontal="left" vertical="center" wrapText="1" indent="4"/>
    </xf>
    <xf numFmtId="0" fontId="11" fillId="2" borderId="0" xfId="0" applyFont="1" applyFill="1" applyAlignment="1">
      <alignment horizontal="left" wrapText="1"/>
    </xf>
    <xf numFmtId="0" fontId="11" fillId="2" borderId="69" xfId="0" applyFont="1" applyFill="1" applyBorder="1" applyAlignment="1">
      <alignment horizontal="left" vertical="center" wrapText="1"/>
    </xf>
    <xf numFmtId="0" fontId="11" fillId="2" borderId="70" xfId="0" applyFont="1" applyFill="1" applyBorder="1" applyAlignment="1">
      <alignment horizontal="left" vertical="center" wrapText="1"/>
    </xf>
    <xf numFmtId="0" fontId="11" fillId="2" borderId="71" xfId="0" applyFont="1" applyFill="1" applyBorder="1" applyAlignment="1">
      <alignment horizontal="left" vertical="center" wrapText="1"/>
    </xf>
    <xf numFmtId="3" fontId="12" fillId="2" borderId="0" xfId="4" applyNumberFormat="1" applyFont="1" applyFill="1" applyAlignment="1" applyProtection="1">
      <alignment horizontal="left" wrapText="1"/>
      <protection locked="0"/>
    </xf>
    <xf numFmtId="3" fontId="28" fillId="0" borderId="0" xfId="0" applyNumberFormat="1" applyFont="1" applyAlignment="1">
      <alignment horizontal="left" vertical="center"/>
    </xf>
    <xf numFmtId="3" fontId="28" fillId="0" borderId="0" xfId="0" applyNumberFormat="1" applyFont="1" applyAlignment="1">
      <alignment horizontal="center" vertical="center"/>
    </xf>
    <xf numFmtId="0" fontId="22" fillId="2" borderId="0" xfId="0" applyFont="1" applyFill="1" applyAlignment="1">
      <alignment horizontal="left" vertical="center" wrapText="1"/>
    </xf>
    <xf numFmtId="0" fontId="21" fillId="2" borderId="0" xfId="0" applyFont="1" applyFill="1" applyAlignment="1">
      <alignment horizontal="left" vertical="center" wrapText="1"/>
    </xf>
  </cellXfs>
  <cellStyles count="10">
    <cellStyle name="Normal" xfId="0" builtinId="0"/>
    <cellStyle name="Normal 2" xfId="5" xr:uid="{00000000-0005-0000-0000-000002000000}"/>
    <cellStyle name="Normal 3" xfId="8" xr:uid="{0884DA5F-8A2D-4A5D-984D-C51870119212}"/>
    <cellStyle name="Normal 6" xfId="4" xr:uid="{00000000-0005-0000-0000-000003000000}"/>
    <cellStyle name="Normal 7" xfId="3" xr:uid="{00000000-0005-0000-0000-000004000000}"/>
    <cellStyle name="Normal 8" xfId="2" xr:uid="{00000000-0005-0000-0000-000005000000}"/>
    <cellStyle name="Normal_Census_1" xfId="9" xr:uid="{5C7AD5AA-62BE-49E1-9EEE-BF359C8D5DAE}"/>
    <cellStyle name="Percent" xfId="1" builtinId="5"/>
    <cellStyle name="Percent 2" xfId="6" xr:uid="{00000000-0005-0000-0000-000009000000}"/>
    <cellStyle name="Title 2" xfId="7" xr:uid="{00000000-0005-0000-0000-00000A000000}"/>
  </cellStyles>
  <dxfs count="194">
    <dxf>
      <fill>
        <patternFill>
          <bgColor theme="7" tint="0.79998168889431442"/>
        </patternFill>
      </fill>
    </dxf>
    <dxf>
      <fill>
        <patternFill>
          <bgColor theme="6" tint="0.79998168889431442"/>
        </patternFill>
      </fill>
    </dxf>
    <dxf>
      <font>
        <b/>
        <i val="0"/>
        <color theme="7"/>
      </font>
    </dxf>
    <dxf>
      <font>
        <b/>
        <i val="0"/>
        <color theme="6"/>
      </font>
      <fill>
        <patternFill patternType="none">
          <bgColor auto="1"/>
        </patternFill>
      </fill>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ont>
        <b/>
        <i val="0"/>
        <color theme="5"/>
      </font>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5"/>
      </font>
    </dxf>
    <dxf>
      <font>
        <b/>
        <i val="0"/>
        <color theme="5"/>
      </font>
    </dxf>
    <dxf>
      <font>
        <b/>
        <i val="0"/>
        <color theme="8"/>
      </font>
      <fill>
        <patternFill patternType="none">
          <bgColor auto="1"/>
        </patternFill>
      </fill>
    </dxf>
    <dxf>
      <font>
        <b/>
        <i val="0"/>
        <color theme="8"/>
      </font>
      <fill>
        <patternFill patternType="none">
          <bgColor auto="1"/>
        </patternFill>
      </fill>
    </dxf>
    <dxf>
      <font>
        <b/>
        <i val="0"/>
        <color theme="5"/>
      </font>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ont>
        <b/>
        <i val="0"/>
        <color theme="8"/>
      </font>
      <fill>
        <patternFill patternType="none">
          <bgColor auto="1"/>
        </patternFill>
      </fill>
    </dxf>
    <dxf>
      <font>
        <b/>
        <i val="0"/>
        <color theme="5"/>
      </font>
    </dxf>
    <dxf>
      <font>
        <b/>
        <i val="0"/>
        <color theme="5"/>
      </font>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5"/>
      </font>
    </dxf>
    <dxf>
      <font>
        <b/>
        <i val="0"/>
        <color theme="5"/>
      </font>
    </dxf>
    <dxf>
      <font>
        <b/>
        <i val="0"/>
        <color theme="8"/>
      </font>
      <fill>
        <patternFill patternType="none">
          <bgColor auto="1"/>
        </patternFill>
      </fill>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5"/>
      </font>
    </dxf>
    <dxf>
      <font>
        <b/>
        <i val="0"/>
        <color rgb="FF0070C0"/>
      </font>
    </dxf>
    <dxf>
      <font>
        <b/>
        <i val="0"/>
        <color rgb="FFFF0000"/>
      </font>
    </dxf>
    <dxf>
      <font>
        <b/>
        <i val="0"/>
        <color theme="8"/>
      </font>
      <fill>
        <patternFill patternType="none">
          <bgColor auto="1"/>
        </patternFill>
      </fill>
    </dxf>
    <dxf>
      <font>
        <b/>
        <i val="0"/>
        <color theme="5"/>
      </font>
    </dxf>
    <dxf>
      <font>
        <b/>
        <i val="0"/>
        <color theme="5"/>
      </font>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5"/>
      </font>
    </dxf>
    <dxf>
      <font>
        <b/>
        <i val="0"/>
        <color theme="5"/>
      </font>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8"/>
      </font>
      <fill>
        <patternFill patternType="none">
          <bgColor auto="1"/>
        </patternFill>
      </fill>
    </dxf>
    <dxf>
      <font>
        <b/>
        <i val="0"/>
        <color theme="5"/>
      </font>
    </dxf>
    <dxf>
      <font>
        <b/>
        <i val="0"/>
        <color theme="5"/>
      </font>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8"/>
      </font>
      <fill>
        <patternFill patternType="none">
          <bgColor auto="1"/>
        </patternFill>
      </fill>
    </dxf>
    <dxf>
      <font>
        <b/>
        <i val="0"/>
        <color theme="5"/>
      </font>
    </dxf>
    <dxf>
      <font>
        <b/>
        <i val="0"/>
        <color theme="5"/>
      </font>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5"/>
      </font>
    </dxf>
    <dxf>
      <font>
        <b/>
        <i val="0"/>
        <color theme="8"/>
      </font>
      <fill>
        <patternFill patternType="none">
          <bgColor auto="1"/>
        </patternFill>
      </fill>
    </dxf>
    <dxf>
      <font>
        <b/>
        <i val="0"/>
        <color theme="5"/>
      </font>
    </dxf>
    <dxf>
      <font>
        <b/>
        <i val="0"/>
        <color theme="5"/>
      </font>
    </dxf>
    <dxf>
      <font>
        <b/>
        <i val="0"/>
        <color theme="8"/>
      </font>
      <fill>
        <patternFill patternType="none">
          <bgColor auto="1"/>
        </patternFill>
      </fill>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ill>
        <patternFill patternType="solid">
          <bgColor theme="8" tint="0.79998168889431442"/>
        </patternFill>
      </fill>
      <border>
        <left/>
        <right/>
        <top/>
        <bottom/>
      </border>
    </dxf>
    <dxf>
      <fill>
        <patternFill>
          <bgColor theme="5" tint="0.79998168889431442"/>
        </patternFill>
      </fill>
      <border>
        <left/>
        <right/>
        <top/>
        <bottom/>
        <vertical/>
        <horizontal/>
      </border>
    </dxf>
    <dxf>
      <font>
        <b/>
        <i val="0"/>
        <color theme="7"/>
      </font>
    </dxf>
    <dxf>
      <font>
        <b/>
        <i val="0"/>
        <color theme="6"/>
      </font>
      <fill>
        <patternFill patternType="none">
          <bgColor auto="1"/>
        </patternFill>
      </fill>
    </dxf>
    <dxf>
      <font>
        <b/>
        <i val="0"/>
        <color theme="5"/>
      </font>
    </dxf>
    <dxf>
      <font>
        <b/>
        <i val="0"/>
        <color theme="8"/>
      </font>
      <fill>
        <patternFill patternType="none">
          <bgColor auto="1"/>
        </patternFill>
      </fill>
    </dxf>
    <dxf>
      <font>
        <b/>
        <i val="0"/>
        <color theme="7"/>
      </font>
    </dxf>
    <dxf>
      <font>
        <b/>
        <i val="0"/>
        <color theme="6"/>
      </font>
      <fill>
        <patternFill patternType="none">
          <bgColor auto="1"/>
        </patternFill>
      </fill>
    </dxf>
    <dxf>
      <font>
        <b/>
        <i val="0"/>
        <color theme="5"/>
      </font>
    </dxf>
    <dxf>
      <font>
        <b/>
        <i val="0"/>
        <color theme="8"/>
      </font>
      <fill>
        <patternFill patternType="none">
          <bgColor auto="1"/>
        </patternFill>
      </fill>
    </dxf>
    <dxf>
      <font>
        <b/>
        <i val="0"/>
        <color theme="5"/>
      </font>
    </dxf>
    <dxf>
      <font>
        <b/>
        <i val="0"/>
        <color theme="8"/>
      </font>
      <fill>
        <patternFill patternType="none">
          <bgColor auto="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3</xdr:col>
      <xdr:colOff>626745</xdr:colOff>
      <xdr:row>44</xdr:row>
      <xdr:rowOff>160020</xdr:rowOff>
    </xdr:to>
    <xdr:pic>
      <xdr:nvPicPr>
        <xdr:cNvPr id="4" name="Picture 3" descr="Map of target area">
          <a:extLst>
            <a:ext uri="{FF2B5EF4-FFF2-40B4-BE49-F238E27FC236}">
              <a16:creationId xmlns:a16="http://schemas.microsoft.com/office/drawing/2014/main" id="{B1B1AFCF-9D14-DE05-996B-E968D7F62F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2886075"/>
          <a:ext cx="5760720" cy="5760720"/>
        </a:xfrm>
        <a:prstGeom prst="rect">
          <a:avLst/>
        </a:prstGeom>
      </xdr:spPr>
    </xdr:pic>
    <xdr:clientData/>
  </xdr:twoCellAnchor>
  <xdr:twoCellAnchor editAs="oneCell">
    <xdr:from>
      <xdr:col>5</xdr:col>
      <xdr:colOff>0</xdr:colOff>
      <xdr:row>16</xdr:row>
      <xdr:rowOff>0</xdr:rowOff>
    </xdr:from>
    <xdr:to>
      <xdr:col>10</xdr:col>
      <xdr:colOff>1493520</xdr:colOff>
      <xdr:row>44</xdr:row>
      <xdr:rowOff>160020</xdr:rowOff>
    </xdr:to>
    <xdr:pic>
      <xdr:nvPicPr>
        <xdr:cNvPr id="6" name="Picture 5" descr="Map of base area">
          <a:extLst>
            <a:ext uri="{FF2B5EF4-FFF2-40B4-BE49-F238E27FC236}">
              <a16:creationId xmlns:a16="http://schemas.microsoft.com/office/drawing/2014/main" id="{15864E87-FAEC-6831-88F2-297BB1BAD4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029325" y="2886075"/>
          <a:ext cx="5760720" cy="5760720"/>
        </a:xfrm>
        <a:prstGeom prst="rect">
          <a:avLst/>
        </a:prstGeom>
      </xdr:spPr>
    </xdr:pic>
    <xdr:clientData/>
  </xdr:twoCellAnchor>
  <xdr:twoCellAnchor editAs="oneCell">
    <xdr:from>
      <xdr:col>0</xdr:col>
      <xdr:colOff>0</xdr:colOff>
      <xdr:row>0</xdr:row>
      <xdr:rowOff>0</xdr:rowOff>
    </xdr:from>
    <xdr:to>
      <xdr:col>1</xdr:col>
      <xdr:colOff>1812761</xdr:colOff>
      <xdr:row>2</xdr:row>
      <xdr:rowOff>142702</xdr:rowOff>
    </xdr:to>
    <xdr:pic>
      <xdr:nvPicPr>
        <xdr:cNvPr id="3" name="Picture 2" descr="Logo: The Audience Agency">
          <a:extLst>
            <a:ext uri="{FF2B5EF4-FFF2-40B4-BE49-F238E27FC236}">
              <a16:creationId xmlns:a16="http://schemas.microsoft.com/office/drawing/2014/main" id="{EAA58AF9-19BE-45CD-88DA-F0D0D07ACE12}"/>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147"/>
        <a:stretch/>
      </xdr:blipFill>
      <xdr:spPr>
        <a:xfrm>
          <a:off x="0" y="0"/>
          <a:ext cx="2860511" cy="5237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145886</xdr:colOff>
      <xdr:row>2</xdr:row>
      <xdr:rowOff>142702</xdr:rowOff>
    </xdr:to>
    <xdr:pic>
      <xdr:nvPicPr>
        <xdr:cNvPr id="2" name="Picture 1" descr="Logo: The Audience Agency">
          <a:extLst>
            <a:ext uri="{FF2B5EF4-FFF2-40B4-BE49-F238E27FC236}">
              <a16:creationId xmlns:a16="http://schemas.microsoft.com/office/drawing/2014/main" id="{AB323BE8-1122-47EC-931E-854485CFF8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47"/>
        <a:stretch/>
      </xdr:blipFill>
      <xdr:spPr>
        <a:xfrm>
          <a:off x="0" y="0"/>
          <a:ext cx="2860511" cy="5237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145886</xdr:colOff>
      <xdr:row>2</xdr:row>
      <xdr:rowOff>142702</xdr:rowOff>
    </xdr:to>
    <xdr:pic>
      <xdr:nvPicPr>
        <xdr:cNvPr id="2" name="Picture 1" descr="Logo: The Audience Agency">
          <a:extLst>
            <a:ext uri="{FF2B5EF4-FFF2-40B4-BE49-F238E27FC236}">
              <a16:creationId xmlns:a16="http://schemas.microsoft.com/office/drawing/2014/main" id="{42AA53DB-149A-40F7-B1EE-E7279CCDC7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47"/>
        <a:stretch/>
      </xdr:blipFill>
      <xdr:spPr>
        <a:xfrm>
          <a:off x="0" y="0"/>
          <a:ext cx="2860511" cy="5237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145886</xdr:colOff>
      <xdr:row>2</xdr:row>
      <xdr:rowOff>142702</xdr:rowOff>
    </xdr:to>
    <xdr:pic>
      <xdr:nvPicPr>
        <xdr:cNvPr id="2" name="Picture 1" descr="Logo: The Audience Agency">
          <a:extLst>
            <a:ext uri="{FF2B5EF4-FFF2-40B4-BE49-F238E27FC236}">
              <a16:creationId xmlns:a16="http://schemas.microsoft.com/office/drawing/2014/main" id="{957EF061-E4D4-4970-A745-A77058FD741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47"/>
        <a:stretch/>
      </xdr:blipFill>
      <xdr:spPr>
        <a:xfrm>
          <a:off x="0" y="0"/>
          <a:ext cx="2860511" cy="5237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911225</xdr:colOff>
      <xdr:row>0</xdr:row>
      <xdr:rowOff>12700</xdr:rowOff>
    </xdr:from>
    <xdr:to>
      <xdr:col>5</xdr:col>
      <xdr:colOff>936761</xdr:colOff>
      <xdr:row>2</xdr:row>
      <xdr:rowOff>142240</xdr:rowOff>
    </xdr:to>
    <xdr:pic>
      <xdr:nvPicPr>
        <xdr:cNvPr id="2" name="Picture 1" descr="Experian logo">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149" b="21277"/>
        <a:stretch/>
      </xdr:blipFill>
      <xdr:spPr>
        <a:xfrm>
          <a:off x="3768725" y="12700"/>
          <a:ext cx="1922916" cy="581025"/>
        </a:xfrm>
        <a:prstGeom prst="rect">
          <a:avLst/>
        </a:prstGeom>
      </xdr:spPr>
    </xdr:pic>
    <xdr:clientData/>
  </xdr:twoCellAnchor>
</xdr:wsDr>
</file>

<file path=xl/theme/theme1.xml><?xml version="1.0" encoding="utf-8"?>
<a:theme xmlns:a="http://schemas.openxmlformats.org/drawingml/2006/main" name="TAA Excel">
  <a:themeElements>
    <a:clrScheme name="TAA">
      <a:dk1>
        <a:srgbClr val="6F6F6E"/>
      </a:dk1>
      <a:lt1>
        <a:sysClr val="window" lastClr="FFFFFF"/>
      </a:lt1>
      <a:dk2>
        <a:srgbClr val="B9348B"/>
      </a:dk2>
      <a:lt2>
        <a:srgbClr val="F2E61A"/>
      </a:lt2>
      <a:accent1>
        <a:srgbClr val="19BC9C"/>
      </a:accent1>
      <a:accent2>
        <a:srgbClr val="E94E1B"/>
      </a:accent2>
      <a:accent3>
        <a:srgbClr val="D50C52"/>
      </a:accent3>
      <a:accent4>
        <a:srgbClr val="2DB8C5"/>
      </a:accent4>
      <a:accent5>
        <a:srgbClr val="636AAF"/>
      </a:accent5>
      <a:accent6>
        <a:srgbClr val="F08597"/>
      </a:accent6>
      <a:hlink>
        <a:srgbClr val="0000FF"/>
      </a:hlink>
      <a:folHlink>
        <a:srgbClr val="7030A0"/>
      </a:folHlink>
    </a:clrScheme>
    <a:fontScheme name="Office">
      <a:majorFont>
        <a:latin typeface="Calibri Light" panose="020F0302020204030204"/>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1"/>
  <sheetViews>
    <sheetView showGridLines="0" tabSelected="1" zoomScaleNormal="100" workbookViewId="0"/>
  </sheetViews>
  <sheetFormatPr defaultColWidth="14.28515625" defaultRowHeight="15.75" x14ac:dyDescent="0.3"/>
  <cols>
    <col min="1" max="1" width="15.7109375" style="133" customWidth="1"/>
    <col min="2" max="2" width="49" style="133" customWidth="1"/>
    <col min="3" max="3" width="12.28515625" style="134" customWidth="1"/>
    <col min="4" max="4" width="9.7109375" style="135" customWidth="1"/>
    <col min="5" max="5" width="3.7109375" style="135" customWidth="1"/>
    <col min="6" max="6" width="12.28515625" style="135" customWidth="1"/>
    <col min="7" max="7" width="4.28515625" style="135" customWidth="1"/>
    <col min="9" max="9" width="14.28515625" style="135"/>
    <col min="10" max="10" width="18.85546875" style="135" customWidth="1"/>
    <col min="11" max="11" width="22.42578125" style="135" customWidth="1"/>
    <col min="12" max="12" width="4" style="135" customWidth="1"/>
    <col min="13" max="16384" width="14.28515625" style="135"/>
  </cols>
  <sheetData>
    <row r="1" spans="1:11" ht="15" customHeight="1" x14ac:dyDescent="0.3">
      <c r="A1" s="22" t="s">
        <v>872</v>
      </c>
    </row>
    <row r="2" spans="1:11" ht="15" customHeight="1" x14ac:dyDescent="0.3"/>
    <row r="3" spans="1:11" ht="15" customHeight="1" x14ac:dyDescent="0.3"/>
    <row r="4" spans="1:11" ht="15" customHeight="1" x14ac:dyDescent="0.3">
      <c r="A4" s="266" t="s">
        <v>627</v>
      </c>
      <c r="B4" s="266"/>
      <c r="C4" s="266"/>
      <c r="D4" s="266"/>
      <c r="E4" s="266"/>
      <c r="F4" s="266"/>
      <c r="G4" s="266"/>
      <c r="H4" s="266"/>
      <c r="I4" s="266"/>
      <c r="J4" s="266"/>
      <c r="K4" s="266"/>
    </row>
    <row r="5" spans="1:11" ht="15" customHeight="1" x14ac:dyDescent="0.3">
      <c r="A5" s="266"/>
      <c r="B5" s="266"/>
      <c r="C5" s="266"/>
      <c r="D5" s="266"/>
      <c r="E5" s="266"/>
      <c r="F5" s="266"/>
      <c r="G5" s="266"/>
      <c r="H5" s="266"/>
      <c r="I5" s="266"/>
      <c r="J5" s="266"/>
      <c r="K5" s="266"/>
    </row>
    <row r="7" spans="1:11" ht="16.5" x14ac:dyDescent="0.3">
      <c r="A7" s="137" t="s">
        <v>124</v>
      </c>
      <c r="B7" s="268" t="s">
        <v>888</v>
      </c>
      <c r="C7" s="268"/>
      <c r="D7" s="268"/>
      <c r="E7" s="268"/>
      <c r="F7" s="268"/>
      <c r="G7" s="161"/>
    </row>
    <row r="8" spans="1:11" ht="16.5" x14ac:dyDescent="0.3">
      <c r="A8" s="138" t="s">
        <v>125</v>
      </c>
      <c r="B8" s="268" t="s">
        <v>889</v>
      </c>
      <c r="C8" s="268"/>
      <c r="D8" s="268"/>
      <c r="E8" s="268"/>
      <c r="F8" s="268"/>
      <c r="G8" s="161"/>
    </row>
    <row r="9" spans="1:11" ht="16.5" x14ac:dyDescent="0.3">
      <c r="A9" s="138" t="s">
        <v>0</v>
      </c>
      <c r="B9" s="269">
        <v>45341</v>
      </c>
      <c r="C9" s="269"/>
      <c r="D9" s="269"/>
      <c r="E9" s="269"/>
      <c r="F9" s="269"/>
      <c r="G9" s="162"/>
    </row>
    <row r="10" spans="1:11" x14ac:dyDescent="0.3">
      <c r="A10" s="136"/>
      <c r="B10" s="136"/>
      <c r="C10" s="136"/>
      <c r="D10" s="136"/>
      <c r="E10" s="1"/>
      <c r="F10" s="1"/>
      <c r="G10" s="1"/>
    </row>
    <row r="11" spans="1:11" ht="6.95" customHeight="1" x14ac:dyDescent="0.3">
      <c r="A11" s="263"/>
      <c r="B11" s="263"/>
      <c r="C11" s="263"/>
      <c r="D11" s="263"/>
      <c r="E11" s="263"/>
      <c r="F11" s="263"/>
      <c r="G11" s="160"/>
    </row>
    <row r="12" spans="1:11" ht="15" customHeight="1" x14ac:dyDescent="0.3">
      <c r="A12" s="262" t="s">
        <v>126</v>
      </c>
      <c r="B12" s="262"/>
      <c r="C12" s="262"/>
      <c r="D12" s="262"/>
      <c r="E12" s="262"/>
      <c r="F12" s="262"/>
      <c r="G12" s="158"/>
    </row>
    <row r="13" spans="1:11" ht="6.95" customHeight="1" x14ac:dyDescent="0.3">
      <c r="A13" s="263"/>
      <c r="B13" s="263"/>
      <c r="C13" s="263"/>
      <c r="D13" s="263"/>
      <c r="E13" s="263"/>
      <c r="F13" s="263"/>
      <c r="G13" s="160"/>
    </row>
    <row r="14" spans="1:11" s="139" customFormat="1" ht="15" x14ac:dyDescent="0.25">
      <c r="A14" s="260" t="s">
        <v>878</v>
      </c>
      <c r="B14" s="260"/>
      <c r="C14" s="260"/>
      <c r="D14" s="260"/>
      <c r="E14" s="260"/>
      <c r="F14" s="260"/>
      <c r="G14" s="260"/>
      <c r="H14" s="260"/>
      <c r="I14" s="260"/>
      <c r="J14" s="260"/>
    </row>
    <row r="15" spans="1:11" ht="6.95" customHeight="1" x14ac:dyDescent="0.3">
      <c r="A15" s="263"/>
      <c r="B15" s="263"/>
      <c r="C15" s="263"/>
      <c r="D15" s="263"/>
      <c r="E15" s="263"/>
      <c r="F15" s="263"/>
      <c r="G15" s="160"/>
    </row>
    <row r="16" spans="1:11" x14ac:dyDescent="0.3">
      <c r="A16" s="140" t="s">
        <v>893</v>
      </c>
      <c r="B16" s="136"/>
      <c r="C16" s="136"/>
      <c r="D16" s="136"/>
      <c r="F16" s="140" t="s">
        <v>894</v>
      </c>
      <c r="G16" s="1"/>
    </row>
    <row r="17" spans="1:1" x14ac:dyDescent="0.3">
      <c r="A17" s="243" t="s">
        <v>170</v>
      </c>
    </row>
    <row r="18" spans="1:1" x14ac:dyDescent="0.3">
      <c r="A18" s="22"/>
    </row>
    <row r="43" spans="1:11" x14ac:dyDescent="0.3">
      <c r="A43" s="22"/>
      <c r="B43" s="22"/>
      <c r="C43" s="132"/>
      <c r="D43" s="1"/>
      <c r="E43" s="1"/>
      <c r="F43" s="1"/>
      <c r="G43" s="1"/>
    </row>
    <row r="44" spans="1:11" x14ac:dyDescent="0.3">
      <c r="A44" s="22"/>
      <c r="B44" s="22"/>
      <c r="C44" s="132"/>
      <c r="D44" s="1"/>
      <c r="E44" s="1"/>
      <c r="F44" s="1"/>
      <c r="G44" s="1"/>
    </row>
    <row r="45" spans="1:11" x14ac:dyDescent="0.3">
      <c r="A45" s="22"/>
      <c r="B45" s="22"/>
      <c r="C45" s="132"/>
      <c r="D45" s="1"/>
      <c r="E45" s="1"/>
      <c r="F45" s="1"/>
      <c r="G45" s="1"/>
    </row>
    <row r="46" spans="1:11" s="139" customFormat="1" ht="22.5" customHeight="1" x14ac:dyDescent="0.25">
      <c r="A46" s="271" t="s">
        <v>451</v>
      </c>
      <c r="B46" s="271"/>
      <c r="C46" s="271"/>
      <c r="D46" s="271"/>
      <c r="E46" s="271"/>
      <c r="F46" s="271"/>
      <c r="G46" s="157"/>
    </row>
    <row r="47" spans="1:11" s="139" customFormat="1" ht="30" customHeight="1" x14ac:dyDescent="0.25">
      <c r="A47" s="260" t="s">
        <v>619</v>
      </c>
      <c r="B47" s="260"/>
      <c r="C47" s="260"/>
      <c r="D47" s="260"/>
      <c r="E47" s="260"/>
      <c r="F47" s="260"/>
      <c r="G47" s="260"/>
      <c r="H47" s="260"/>
      <c r="I47" s="260"/>
      <c r="J47" s="260"/>
      <c r="K47" s="260"/>
    </row>
    <row r="48" spans="1:11" s="141" customFormat="1" ht="7.5" customHeight="1" x14ac:dyDescent="0.25">
      <c r="A48" s="270"/>
      <c r="B48" s="270"/>
      <c r="C48" s="270"/>
      <c r="D48" s="270"/>
      <c r="E48" s="270"/>
      <c r="F48" s="270"/>
      <c r="G48" s="165"/>
    </row>
    <row r="49" spans="1:11" s="139" customFormat="1" ht="60" customHeight="1" x14ac:dyDescent="0.25">
      <c r="A49" s="267" t="s">
        <v>859</v>
      </c>
      <c r="B49" s="267"/>
      <c r="C49" s="267"/>
      <c r="D49" s="267"/>
      <c r="E49" s="267"/>
      <c r="F49" s="267"/>
      <c r="G49" s="267"/>
      <c r="H49" s="267"/>
      <c r="I49" s="267"/>
      <c r="J49" s="267"/>
      <c r="K49" s="267"/>
    </row>
    <row r="50" spans="1:11" s="141" customFormat="1" ht="7.5" customHeight="1" x14ac:dyDescent="0.25">
      <c r="A50" s="270"/>
      <c r="B50" s="270"/>
      <c r="C50" s="270"/>
      <c r="D50" s="270"/>
      <c r="E50" s="270"/>
      <c r="F50" s="270"/>
      <c r="G50" s="165"/>
    </row>
    <row r="51" spans="1:11" s="141" customFormat="1" ht="15" x14ac:dyDescent="0.25">
      <c r="A51" s="270" t="s">
        <v>452</v>
      </c>
      <c r="B51" s="270"/>
      <c r="C51" s="270"/>
      <c r="D51" s="270"/>
      <c r="E51" s="270"/>
      <c r="F51" s="270"/>
      <c r="G51" s="165"/>
    </row>
    <row r="52" spans="1:11" s="139" customFormat="1" ht="45" customHeight="1" x14ac:dyDescent="0.25">
      <c r="A52" s="267" t="s">
        <v>620</v>
      </c>
      <c r="B52" s="267"/>
      <c r="C52" s="267"/>
      <c r="D52" s="267"/>
      <c r="E52" s="267"/>
      <c r="F52" s="267"/>
      <c r="G52" s="267"/>
      <c r="H52" s="267"/>
      <c r="I52" s="267"/>
      <c r="J52" s="267"/>
      <c r="K52" s="267"/>
    </row>
    <row r="53" spans="1:11" s="141" customFormat="1" ht="15" x14ac:dyDescent="0.3">
      <c r="A53" s="22"/>
      <c r="B53" s="22"/>
      <c r="C53" s="132"/>
      <c r="D53" s="1"/>
      <c r="E53" s="1"/>
      <c r="F53" s="1"/>
      <c r="G53" s="1"/>
    </row>
    <row r="54" spans="1:11" s="141" customFormat="1" ht="22.5" customHeight="1" x14ac:dyDescent="0.25">
      <c r="A54" s="271" t="s">
        <v>617</v>
      </c>
      <c r="B54" s="271"/>
      <c r="C54" s="271"/>
      <c r="D54" s="271"/>
      <c r="E54" s="271"/>
      <c r="F54" s="271"/>
      <c r="G54" s="157"/>
    </row>
    <row r="55" spans="1:11" s="139" customFormat="1" ht="45" customHeight="1" x14ac:dyDescent="0.25">
      <c r="A55" s="260" t="s">
        <v>618</v>
      </c>
      <c r="B55" s="260"/>
      <c r="C55" s="260"/>
      <c r="D55" s="260"/>
      <c r="E55" s="260"/>
      <c r="F55" s="260"/>
      <c r="G55" s="260"/>
      <c r="H55" s="260"/>
      <c r="I55" s="260"/>
      <c r="J55" s="260"/>
      <c r="K55" s="260"/>
    </row>
    <row r="56" spans="1:11" s="141" customFormat="1" ht="15" x14ac:dyDescent="0.3">
      <c r="A56" s="22"/>
      <c r="B56" s="22"/>
      <c r="C56" s="132"/>
      <c r="D56" s="1"/>
      <c r="E56" s="1"/>
      <c r="F56" s="1"/>
      <c r="G56" s="1"/>
    </row>
    <row r="57" spans="1:11" ht="22.5" customHeight="1" x14ac:dyDescent="0.3">
      <c r="A57" s="262" t="s">
        <v>127</v>
      </c>
      <c r="B57" s="262"/>
      <c r="C57" s="262"/>
      <c r="D57" s="262"/>
      <c r="E57" s="262"/>
      <c r="F57" s="262"/>
      <c r="G57" s="158"/>
    </row>
    <row r="58" spans="1:11" ht="30" customHeight="1" x14ac:dyDescent="0.3">
      <c r="A58" s="265" t="s">
        <v>128</v>
      </c>
      <c r="B58" s="265"/>
      <c r="C58" s="265"/>
      <c r="D58" s="265"/>
      <c r="E58" s="265"/>
      <c r="F58" s="265"/>
      <c r="G58" s="265"/>
      <c r="H58" s="265"/>
      <c r="I58" s="265"/>
      <c r="J58" s="265"/>
      <c r="K58" s="265"/>
    </row>
    <row r="59" spans="1:11" ht="6.95" customHeight="1" x14ac:dyDescent="0.3">
      <c r="A59" s="263"/>
      <c r="B59" s="263"/>
      <c r="C59" s="263"/>
      <c r="D59" s="263"/>
      <c r="E59" s="263"/>
      <c r="F59" s="263"/>
      <c r="G59" s="160"/>
    </row>
    <row r="60" spans="1:11" ht="15" customHeight="1" x14ac:dyDescent="0.3">
      <c r="A60" s="264" t="s">
        <v>129</v>
      </c>
      <c r="B60" s="264"/>
      <c r="C60" s="264"/>
      <c r="D60" s="264"/>
      <c r="E60" s="264"/>
      <c r="F60" s="264"/>
      <c r="G60" s="264"/>
      <c r="H60" s="264"/>
      <c r="I60" s="264"/>
      <c r="J60" s="264"/>
      <c r="K60" s="264"/>
    </row>
    <row r="61" spans="1:11" x14ac:dyDescent="0.3">
      <c r="A61" s="263"/>
      <c r="B61" s="263"/>
      <c r="C61" s="263"/>
      <c r="D61" s="263"/>
      <c r="E61" s="263"/>
      <c r="F61" s="263"/>
      <c r="G61" s="160"/>
    </row>
    <row r="62" spans="1:11" ht="22.5" customHeight="1" x14ac:dyDescent="0.3">
      <c r="A62" s="262" t="s">
        <v>130</v>
      </c>
      <c r="B62" s="262"/>
      <c r="C62" s="262"/>
      <c r="D62" s="262"/>
      <c r="E62" s="262"/>
      <c r="F62" s="262"/>
      <c r="G62" s="158"/>
    </row>
    <row r="63" spans="1:11" ht="30" customHeight="1" x14ac:dyDescent="0.3">
      <c r="A63" s="265" t="s">
        <v>131</v>
      </c>
      <c r="B63" s="265"/>
      <c r="C63" s="265"/>
      <c r="D63" s="265"/>
      <c r="E63" s="265"/>
      <c r="F63" s="265"/>
      <c r="G63" s="265"/>
      <c r="H63" s="265"/>
      <c r="I63" s="265"/>
      <c r="J63" s="265"/>
      <c r="K63" s="265"/>
    </row>
    <row r="64" spans="1:11" x14ac:dyDescent="0.3">
      <c r="A64" s="263"/>
      <c r="B64" s="263"/>
      <c r="C64" s="263"/>
      <c r="D64" s="263"/>
      <c r="E64" s="263"/>
      <c r="F64" s="263"/>
      <c r="G64" s="160"/>
    </row>
    <row r="65" spans="1:12" ht="22.5" customHeight="1" x14ac:dyDescent="0.3">
      <c r="A65" s="262" t="s">
        <v>71</v>
      </c>
      <c r="B65" s="262"/>
      <c r="C65" s="262"/>
      <c r="D65" s="262"/>
      <c r="E65" s="262"/>
      <c r="F65" s="262"/>
      <c r="G65" s="158"/>
    </row>
    <row r="66" spans="1:12" ht="15.75" customHeight="1" x14ac:dyDescent="0.3">
      <c r="A66" s="260" t="s">
        <v>879</v>
      </c>
      <c r="B66" s="260"/>
      <c r="C66" s="260"/>
      <c r="D66" s="260"/>
      <c r="E66" s="260"/>
      <c r="F66" s="260"/>
      <c r="G66" s="260"/>
      <c r="H66" s="260"/>
      <c r="I66" s="260"/>
      <c r="J66" s="260"/>
      <c r="K66" s="260"/>
    </row>
    <row r="67" spans="1:12" ht="6.95" customHeight="1" x14ac:dyDescent="0.3">
      <c r="A67" s="263"/>
      <c r="B67" s="263"/>
      <c r="C67" s="263"/>
      <c r="D67" s="263"/>
      <c r="E67" s="263"/>
      <c r="F67" s="263"/>
      <c r="G67" s="160"/>
    </row>
    <row r="68" spans="1:12" ht="15" customHeight="1" x14ac:dyDescent="0.3">
      <c r="A68" s="260" t="s">
        <v>880</v>
      </c>
      <c r="B68" s="260"/>
      <c r="C68" s="260"/>
      <c r="D68" s="260"/>
      <c r="E68" s="260"/>
      <c r="F68" s="260"/>
      <c r="G68" s="260"/>
      <c r="H68" s="260"/>
      <c r="I68" s="260"/>
      <c r="J68" s="260"/>
    </row>
    <row r="69" spans="1:12" ht="24" customHeight="1" x14ac:dyDescent="0.3">
      <c r="A69" s="260" t="s">
        <v>881</v>
      </c>
      <c r="B69" s="260"/>
      <c r="C69" s="260"/>
      <c r="D69" s="260"/>
      <c r="E69" s="260"/>
      <c r="F69" s="260"/>
      <c r="G69" s="260"/>
      <c r="H69" s="260"/>
      <c r="I69" s="260"/>
      <c r="J69" s="260"/>
    </row>
    <row r="70" spans="1:12" ht="6.95" customHeight="1" x14ac:dyDescent="0.3">
      <c r="A70" s="263"/>
      <c r="B70" s="263"/>
      <c r="C70" s="263"/>
      <c r="D70" s="263"/>
      <c r="E70" s="263"/>
      <c r="F70" s="263"/>
      <c r="G70" s="160"/>
    </row>
    <row r="71" spans="1:12" ht="15" customHeight="1" x14ac:dyDescent="0.3">
      <c r="A71" s="261" t="s">
        <v>882</v>
      </c>
      <c r="B71" s="261"/>
      <c r="C71" s="261"/>
      <c r="D71" s="261"/>
      <c r="E71" s="261"/>
      <c r="F71" s="261"/>
      <c r="G71" s="159"/>
    </row>
    <row r="72" spans="1:12" ht="15" customHeight="1" x14ac:dyDescent="0.3">
      <c r="A72" s="258" t="s">
        <v>885</v>
      </c>
      <c r="B72" s="259"/>
      <c r="C72" s="259"/>
      <c r="D72" s="259"/>
      <c r="E72" s="259"/>
      <c r="F72" s="259"/>
      <c r="G72" s="163"/>
    </row>
    <row r="73" spans="1:12" ht="6.95" customHeight="1" x14ac:dyDescent="0.3">
      <c r="A73" s="263"/>
      <c r="B73" s="263"/>
      <c r="C73" s="263"/>
      <c r="D73" s="263"/>
      <c r="E73" s="263"/>
      <c r="F73" s="263"/>
      <c r="G73" s="160"/>
    </row>
    <row r="74" spans="1:12" ht="15" customHeight="1" x14ac:dyDescent="0.3">
      <c r="A74" s="261" t="s">
        <v>883</v>
      </c>
      <c r="B74" s="261"/>
      <c r="C74" s="261"/>
      <c r="D74" s="261"/>
      <c r="E74" s="261"/>
      <c r="F74" s="261"/>
      <c r="G74" s="261"/>
      <c r="H74" s="261"/>
      <c r="I74" s="261"/>
      <c r="J74" s="261"/>
    </row>
    <row r="75" spans="1:12" ht="15" customHeight="1" x14ac:dyDescent="0.3">
      <c r="A75" s="258" t="s">
        <v>886</v>
      </c>
      <c r="B75" s="259"/>
      <c r="C75" s="259"/>
      <c r="D75" s="259"/>
      <c r="E75" s="259"/>
      <c r="F75" s="259"/>
      <c r="G75" s="163"/>
    </row>
    <row r="76" spans="1:12" ht="6.95" customHeight="1" x14ac:dyDescent="0.3">
      <c r="A76" s="263"/>
      <c r="B76" s="263"/>
      <c r="C76" s="263"/>
      <c r="D76" s="263"/>
      <c r="E76" s="263"/>
      <c r="F76" s="263"/>
      <c r="G76" s="160"/>
    </row>
    <row r="77" spans="1:12" ht="15" customHeight="1" x14ac:dyDescent="0.3">
      <c r="A77" s="261" t="s">
        <v>884</v>
      </c>
      <c r="B77" s="261"/>
      <c r="C77" s="261"/>
      <c r="D77" s="261"/>
      <c r="E77" s="261"/>
      <c r="F77" s="261"/>
      <c r="G77" s="159"/>
    </row>
    <row r="78" spans="1:12" x14ac:dyDescent="0.3">
      <c r="A78" s="263"/>
      <c r="B78" s="263"/>
      <c r="C78" s="263"/>
      <c r="D78" s="263"/>
      <c r="E78" s="263"/>
      <c r="F78" s="263"/>
      <c r="G78" s="160"/>
    </row>
    <row r="79" spans="1:12" ht="22.5" customHeight="1" x14ac:dyDescent="0.3">
      <c r="A79" s="262" t="s">
        <v>132</v>
      </c>
      <c r="B79" s="262"/>
      <c r="C79" s="262"/>
      <c r="D79" s="262"/>
      <c r="E79" s="262"/>
      <c r="F79" s="262"/>
      <c r="G79" s="158"/>
    </row>
    <row r="80" spans="1:12" ht="15" customHeight="1" x14ac:dyDescent="0.3">
      <c r="A80" s="264" t="s">
        <v>903</v>
      </c>
      <c r="B80" s="264"/>
      <c r="C80" s="264"/>
      <c r="D80" s="264"/>
      <c r="E80" s="264"/>
      <c r="F80" s="264"/>
      <c r="G80" s="164"/>
      <c r="I80" s="27"/>
      <c r="J80" s="27"/>
      <c r="K80" s="27"/>
      <c r="L80" s="27"/>
    </row>
    <row r="81" spans="1:12" ht="6.95" customHeight="1" x14ac:dyDescent="0.3">
      <c r="A81" s="263"/>
      <c r="B81" s="263"/>
      <c r="C81" s="263"/>
      <c r="D81" s="263"/>
      <c r="E81" s="263"/>
      <c r="F81" s="263"/>
      <c r="G81" s="160"/>
      <c r="I81" s="1"/>
      <c r="J81" s="1"/>
      <c r="K81" s="1"/>
      <c r="L81" s="1"/>
    </row>
  </sheetData>
  <mergeCells count="43">
    <mergeCell ref="A4:K5"/>
    <mergeCell ref="A47:K47"/>
    <mergeCell ref="A49:K49"/>
    <mergeCell ref="A52:K52"/>
    <mergeCell ref="A55:K55"/>
    <mergeCell ref="B7:F7"/>
    <mergeCell ref="B8:F8"/>
    <mergeCell ref="B9:F9"/>
    <mergeCell ref="A51:F51"/>
    <mergeCell ref="A50:F50"/>
    <mergeCell ref="A48:F48"/>
    <mergeCell ref="A54:F54"/>
    <mergeCell ref="A14:J14"/>
    <mergeCell ref="A46:F46"/>
    <mergeCell ref="A11:F11"/>
    <mergeCell ref="A81:F81"/>
    <mergeCell ref="A64:F64"/>
    <mergeCell ref="A78:F78"/>
    <mergeCell ref="A80:F80"/>
    <mergeCell ref="A70:F70"/>
    <mergeCell ref="A73:F73"/>
    <mergeCell ref="A76:F76"/>
    <mergeCell ref="A67:F67"/>
    <mergeCell ref="A75:F75"/>
    <mergeCell ref="A79:F79"/>
    <mergeCell ref="A77:F77"/>
    <mergeCell ref="A71:F71"/>
    <mergeCell ref="A68:J68"/>
    <mergeCell ref="A65:F65"/>
    <mergeCell ref="A66:K66"/>
    <mergeCell ref="A72:F72"/>
    <mergeCell ref="A69:J69"/>
    <mergeCell ref="A74:J74"/>
    <mergeCell ref="A12:F12"/>
    <mergeCell ref="A61:F61"/>
    <mergeCell ref="A13:F13"/>
    <mergeCell ref="A15:F15"/>
    <mergeCell ref="A62:F62"/>
    <mergeCell ref="A59:F59"/>
    <mergeCell ref="A58:K58"/>
    <mergeCell ref="A60:K60"/>
    <mergeCell ref="A63:K63"/>
    <mergeCell ref="A57:F57"/>
  </mergeCells>
  <pageMargins left="0.70866141732283472" right="0.70866141732283472" top="0.74803149606299213" bottom="0.74803149606299213" header="0.31496062992125984" footer="0.31496062992125984"/>
  <pageSetup paperSize="9" scale="75"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64"/>
  <sheetViews>
    <sheetView showGridLines="0" zoomScaleNormal="100" workbookViewId="0"/>
  </sheetViews>
  <sheetFormatPr defaultColWidth="14.28515625" defaultRowHeight="15" x14ac:dyDescent="0.3"/>
  <cols>
    <col min="1" max="1" width="40.7109375" style="4" customWidth="1"/>
    <col min="2" max="3" width="17.7109375" style="5" customWidth="1"/>
    <col min="4" max="5" width="17.7109375" style="2" customWidth="1"/>
    <col min="6" max="6" width="14.7109375" style="2" customWidth="1"/>
    <col min="7" max="7" width="14.7109375" style="46" customWidth="1"/>
    <col min="8" max="16384" width="14.28515625" style="2"/>
  </cols>
  <sheetData>
    <row r="1" spans="1:10" x14ac:dyDescent="0.3">
      <c r="A1" s="22" t="s">
        <v>872</v>
      </c>
    </row>
    <row r="4" spans="1:10" ht="15" customHeight="1" x14ac:dyDescent="0.3">
      <c r="A4" s="266" t="s">
        <v>133</v>
      </c>
      <c r="B4" s="266"/>
      <c r="C4" s="266"/>
      <c r="D4" s="266"/>
      <c r="E4" s="266"/>
      <c r="F4" s="266"/>
      <c r="G4" s="266"/>
    </row>
    <row r="5" spans="1:10" ht="15" customHeight="1" x14ac:dyDescent="0.3">
      <c r="A5" s="266"/>
      <c r="B5" s="266"/>
      <c r="C5" s="266"/>
      <c r="D5" s="266"/>
      <c r="E5" s="266"/>
      <c r="F5" s="266"/>
      <c r="G5" s="266"/>
    </row>
    <row r="6" spans="1:10" x14ac:dyDescent="0.3">
      <c r="A6" s="248" t="s">
        <v>875</v>
      </c>
      <c r="B6" s="249" t="s">
        <v>876</v>
      </c>
      <c r="C6" s="249"/>
      <c r="D6" s="244"/>
      <c r="E6" s="244"/>
      <c r="F6" s="244"/>
      <c r="G6" s="250"/>
    </row>
    <row r="7" spans="1:10" x14ac:dyDescent="0.3">
      <c r="A7" s="248" t="s">
        <v>625</v>
      </c>
      <c r="B7" s="249" t="s">
        <v>888</v>
      </c>
      <c r="C7" s="249"/>
      <c r="D7" s="244"/>
      <c r="E7" s="244"/>
      <c r="F7" s="244"/>
      <c r="G7" s="250"/>
    </row>
    <row r="8" spans="1:10" x14ac:dyDescent="0.3">
      <c r="A8" s="248" t="s">
        <v>626</v>
      </c>
      <c r="B8" s="249" t="s">
        <v>889</v>
      </c>
      <c r="C8" s="249"/>
      <c r="D8" s="244"/>
      <c r="E8" s="244"/>
      <c r="F8" s="244"/>
      <c r="G8" s="250"/>
    </row>
    <row r="10" spans="1:10" ht="15" customHeight="1" x14ac:dyDescent="0.3">
      <c r="A10" s="17" t="s">
        <v>72</v>
      </c>
      <c r="B10" s="19"/>
      <c r="C10" s="19"/>
      <c r="D10" s="19"/>
      <c r="E10" s="19"/>
      <c r="F10" s="19"/>
    </row>
    <row r="11" spans="1:10" ht="15" customHeight="1" x14ac:dyDescent="0.3">
      <c r="A11" s="9" t="s">
        <v>145</v>
      </c>
      <c r="B11" s="19"/>
      <c r="C11" s="19"/>
      <c r="D11" s="19"/>
      <c r="E11" s="19"/>
      <c r="F11" s="19"/>
    </row>
    <row r="12" spans="1:10" ht="39.75" customHeight="1" x14ac:dyDescent="0.3">
      <c r="A12" s="251" t="s">
        <v>73</v>
      </c>
      <c r="B12" s="230" t="s">
        <v>888</v>
      </c>
      <c r="C12" s="246" t="s">
        <v>888</v>
      </c>
      <c r="D12" s="230" t="s">
        <v>889</v>
      </c>
      <c r="E12" s="231" t="s">
        <v>889</v>
      </c>
      <c r="F12" s="238" t="s">
        <v>1</v>
      </c>
      <c r="G12" s="239" t="s">
        <v>1</v>
      </c>
      <c r="I12" s="10"/>
    </row>
    <row r="13" spans="1:10" x14ac:dyDescent="0.3">
      <c r="A13" s="242" t="s">
        <v>871</v>
      </c>
      <c r="B13" s="37" t="s">
        <v>74</v>
      </c>
      <c r="C13" s="38" t="s">
        <v>75</v>
      </c>
      <c r="D13" s="36" t="s">
        <v>74</v>
      </c>
      <c r="E13" s="38" t="s">
        <v>75</v>
      </c>
      <c r="F13" s="240" t="s">
        <v>869</v>
      </c>
      <c r="G13" s="241" t="s">
        <v>870</v>
      </c>
      <c r="I13" s="10"/>
    </row>
    <row r="14" spans="1:10" x14ac:dyDescent="0.3">
      <c r="A14" s="41" t="s">
        <v>48</v>
      </c>
      <c r="B14" s="35">
        <v>42148</v>
      </c>
      <c r="C14" s="44">
        <v>0.13582677799727366</v>
      </c>
      <c r="D14" s="43">
        <v>55421</v>
      </c>
      <c r="E14" s="44">
        <v>4.2127018803270674E-2</v>
      </c>
      <c r="F14" s="51">
        <v>322.42200339780106</v>
      </c>
      <c r="G14" s="47">
        <v>222.42200339780106</v>
      </c>
      <c r="I14" s="10"/>
      <c r="J14" s="23"/>
    </row>
    <row r="15" spans="1:10" x14ac:dyDescent="0.3">
      <c r="A15" s="41" t="s">
        <v>47</v>
      </c>
      <c r="B15" s="35">
        <v>16755</v>
      </c>
      <c r="C15" s="44">
        <v>5.3994914713493408E-2</v>
      </c>
      <c r="D15" s="43">
        <v>188800</v>
      </c>
      <c r="E15" s="44">
        <v>0.14351204687857497</v>
      </c>
      <c r="F15" s="51">
        <v>37.623959721777446</v>
      </c>
      <c r="G15" s="47">
        <v>-62.376040278222554</v>
      </c>
      <c r="I15" s="10"/>
    </row>
    <row r="16" spans="1:10" x14ac:dyDescent="0.3">
      <c r="A16" s="41" t="s">
        <v>49</v>
      </c>
      <c r="B16" s="35">
        <v>89987</v>
      </c>
      <c r="C16" s="44">
        <v>0.28999345809150295</v>
      </c>
      <c r="D16" s="43">
        <v>164182</v>
      </c>
      <c r="E16" s="44">
        <v>0.12479923135920655</v>
      </c>
      <c r="F16" s="51">
        <v>232.36798410786838</v>
      </c>
      <c r="G16" s="47">
        <v>132.36798410786838</v>
      </c>
      <c r="I16" s="10"/>
    </row>
    <row r="17" spans="1:10" x14ac:dyDescent="0.3">
      <c r="A17" s="41" t="s">
        <v>50</v>
      </c>
      <c r="B17" s="35">
        <v>24483</v>
      </c>
      <c r="C17" s="44">
        <v>7.8899283612680352E-2</v>
      </c>
      <c r="D17" s="43">
        <v>222096</v>
      </c>
      <c r="E17" s="44">
        <v>0.16882124768826265</v>
      </c>
      <c r="F17" s="51">
        <v>46.735398945973941</v>
      </c>
      <c r="G17" s="47">
        <v>-53.264601054026059</v>
      </c>
      <c r="I17" s="10"/>
    </row>
    <row r="18" spans="1:10" x14ac:dyDescent="0.3">
      <c r="A18" s="41" t="s">
        <v>51</v>
      </c>
      <c r="B18" s="35">
        <v>47276</v>
      </c>
      <c r="C18" s="44">
        <v>0.15235234783617516</v>
      </c>
      <c r="D18" s="43">
        <v>285359</v>
      </c>
      <c r="E18" s="44">
        <v>0.21690918530308939</v>
      </c>
      <c r="F18" s="51">
        <v>70.237849827932223</v>
      </c>
      <c r="G18" s="47">
        <v>-29.762150172067777</v>
      </c>
      <c r="I18" s="10"/>
      <c r="J18" s="10"/>
    </row>
    <row r="19" spans="1:10" x14ac:dyDescent="0.3">
      <c r="A19" s="41" t="s">
        <v>52</v>
      </c>
      <c r="B19" s="35">
        <v>11967</v>
      </c>
      <c r="C19" s="44">
        <v>3.8565033982475419E-2</v>
      </c>
      <c r="D19" s="43">
        <v>134412</v>
      </c>
      <c r="E19" s="44">
        <v>0.10217023964535497</v>
      </c>
      <c r="F19" s="51">
        <v>37.745858399020335</v>
      </c>
      <c r="G19" s="47">
        <v>-62.254141600979665</v>
      </c>
      <c r="I19" s="10"/>
    </row>
    <row r="20" spans="1:10" x14ac:dyDescent="0.3">
      <c r="A20" s="41" t="s">
        <v>53</v>
      </c>
      <c r="B20" s="35">
        <v>14963</v>
      </c>
      <c r="C20" s="44">
        <v>4.821998859194282E-2</v>
      </c>
      <c r="D20" s="43">
        <v>69740</v>
      </c>
      <c r="E20" s="44">
        <v>5.3011282570507516E-2</v>
      </c>
      <c r="F20" s="51">
        <v>90.961746733458014</v>
      </c>
      <c r="G20" s="47">
        <v>-9.0382532665419859</v>
      </c>
      <c r="I20" s="10"/>
    </row>
    <row r="21" spans="1:10" x14ac:dyDescent="0.3">
      <c r="A21" s="41" t="s">
        <v>167</v>
      </c>
      <c r="B21" s="35">
        <v>30337</v>
      </c>
      <c r="C21" s="44">
        <v>9.776447195841538E-2</v>
      </c>
      <c r="D21" s="43">
        <v>111069</v>
      </c>
      <c r="E21" s="44">
        <v>8.4426586518837096E-2</v>
      </c>
      <c r="F21" s="51">
        <v>115.79820526867132</v>
      </c>
      <c r="G21" s="47">
        <v>15.798205268671325</v>
      </c>
      <c r="I21" s="10"/>
    </row>
    <row r="22" spans="1:10" s="15" customFormat="1" x14ac:dyDescent="0.3">
      <c r="A22" s="41" t="s">
        <v>54</v>
      </c>
      <c r="B22" s="35">
        <v>23476</v>
      </c>
      <c r="C22" s="44">
        <v>7.5654110284331319E-2</v>
      </c>
      <c r="D22" s="43">
        <v>42310</v>
      </c>
      <c r="E22" s="44">
        <v>3.2160988895299294E-2</v>
      </c>
      <c r="F22" s="51">
        <v>235.23564692188012</v>
      </c>
      <c r="G22" s="47">
        <v>135.23564692188012</v>
      </c>
    </row>
    <row r="23" spans="1:10" s="15" customFormat="1" x14ac:dyDescent="0.3">
      <c r="A23" s="122" t="s">
        <v>168</v>
      </c>
      <c r="B23" s="123">
        <v>8915</v>
      </c>
      <c r="C23" s="40">
        <v>2.8729612931709565E-2</v>
      </c>
      <c r="D23" s="39">
        <v>42180</v>
      </c>
      <c r="E23" s="40">
        <v>3.2062172337596888E-2</v>
      </c>
      <c r="F23" s="65">
        <v>89.605946313314888</v>
      </c>
      <c r="G23" s="94">
        <v>-10.394053686685112</v>
      </c>
    </row>
    <row r="24" spans="1:10" s="15" customFormat="1" x14ac:dyDescent="0.3">
      <c r="A24" s="124" t="s">
        <v>55</v>
      </c>
      <c r="B24" s="125">
        <v>733</v>
      </c>
      <c r="C24" s="126" t="s">
        <v>134</v>
      </c>
      <c r="D24" s="127">
        <v>2860</v>
      </c>
      <c r="E24" s="126" t="s">
        <v>134</v>
      </c>
      <c r="F24" s="127"/>
      <c r="G24" s="128"/>
    </row>
    <row r="25" spans="1:10" x14ac:dyDescent="0.3">
      <c r="A25" s="64" t="s">
        <v>395</v>
      </c>
      <c r="B25" s="229">
        <v>310307</v>
      </c>
      <c r="C25" s="237"/>
      <c r="D25" s="227">
        <v>1315569</v>
      </c>
      <c r="E25" s="228"/>
      <c r="F25" s="60"/>
      <c r="G25" s="48"/>
    </row>
    <row r="26" spans="1:10" ht="15" customHeight="1" x14ac:dyDescent="0.3">
      <c r="A26" s="272" t="s">
        <v>418</v>
      </c>
      <c r="B26" s="272"/>
      <c r="C26" s="272"/>
      <c r="D26" s="272"/>
      <c r="E26" s="272"/>
      <c r="F26" s="272"/>
      <c r="G26" s="272"/>
    </row>
    <row r="27" spans="1:10" x14ac:dyDescent="0.3">
      <c r="A27" s="18"/>
      <c r="B27" s="18"/>
      <c r="C27" s="18"/>
      <c r="D27" s="18"/>
      <c r="E27" s="18"/>
      <c r="F27" s="18"/>
    </row>
    <row r="28" spans="1:10" x14ac:dyDescent="0.3">
      <c r="A28" s="9" t="s">
        <v>146</v>
      </c>
      <c r="B28" s="18"/>
      <c r="C28" s="18"/>
      <c r="D28" s="18"/>
      <c r="E28" s="18"/>
      <c r="F28" s="18"/>
    </row>
    <row r="29" spans="1:10" ht="39.950000000000003" customHeight="1" x14ac:dyDescent="0.3">
      <c r="A29" s="251" t="s">
        <v>169</v>
      </c>
      <c r="B29" s="230" t="s">
        <v>888</v>
      </c>
      <c r="C29" s="246" t="s">
        <v>888</v>
      </c>
      <c r="D29" s="230" t="s">
        <v>889</v>
      </c>
      <c r="E29" s="231" t="s">
        <v>889</v>
      </c>
      <c r="F29" s="238" t="s">
        <v>1</v>
      </c>
      <c r="G29" s="239" t="s">
        <v>1</v>
      </c>
      <c r="I29" s="10"/>
    </row>
    <row r="30" spans="1:10" x14ac:dyDescent="0.3">
      <c r="A30" s="242" t="s">
        <v>871</v>
      </c>
      <c r="B30" s="37" t="s">
        <v>74</v>
      </c>
      <c r="C30" s="38" t="s">
        <v>75</v>
      </c>
      <c r="D30" s="36" t="s">
        <v>74</v>
      </c>
      <c r="E30" s="38" t="s">
        <v>75</v>
      </c>
      <c r="F30" s="240" t="s">
        <v>869</v>
      </c>
      <c r="G30" s="241" t="s">
        <v>870</v>
      </c>
      <c r="I30" s="10"/>
    </row>
    <row r="31" spans="1:10" x14ac:dyDescent="0.3">
      <c r="A31" s="41" t="s">
        <v>147</v>
      </c>
      <c r="B31" s="35">
        <v>23274</v>
      </c>
      <c r="C31" s="44">
        <v>7.50031420496476E-2</v>
      </c>
      <c r="D31" s="43">
        <v>31471</v>
      </c>
      <c r="E31" s="44">
        <v>2.3921968365019242E-2</v>
      </c>
      <c r="F31" s="51">
        <v>313.53248572690046</v>
      </c>
      <c r="G31" s="47">
        <v>213.53248572690046</v>
      </c>
      <c r="I31" s="10"/>
      <c r="J31" s="23"/>
    </row>
    <row r="32" spans="1:10" x14ac:dyDescent="0.3">
      <c r="A32" s="41" t="s">
        <v>155</v>
      </c>
      <c r="B32" s="35">
        <v>18874</v>
      </c>
      <c r="C32" s="44">
        <v>6.0823635947626062E-2</v>
      </c>
      <c r="D32" s="43">
        <v>23950</v>
      </c>
      <c r="E32" s="44">
        <v>1.8205050438251432E-2</v>
      </c>
      <c r="F32" s="51">
        <v>334.1030894362525</v>
      </c>
      <c r="G32" s="47">
        <v>234.1030894362525</v>
      </c>
      <c r="I32" s="10"/>
      <c r="J32" s="23"/>
    </row>
    <row r="33" spans="1:10" x14ac:dyDescent="0.3">
      <c r="A33" s="41" t="s">
        <v>148</v>
      </c>
      <c r="B33" s="35">
        <v>10683</v>
      </c>
      <c r="C33" s="44">
        <v>3.4427196292703674E-2</v>
      </c>
      <c r="D33" s="43">
        <v>65288</v>
      </c>
      <c r="E33" s="44">
        <v>4.9627195532883493E-2</v>
      </c>
      <c r="F33" s="51">
        <v>69.371633683978501</v>
      </c>
      <c r="G33" s="47">
        <v>-30.628366316021499</v>
      </c>
      <c r="I33" s="10"/>
    </row>
    <row r="34" spans="1:10" x14ac:dyDescent="0.3">
      <c r="A34" s="41" t="s">
        <v>156</v>
      </c>
      <c r="B34" s="35">
        <v>6072</v>
      </c>
      <c r="C34" s="44">
        <v>1.9567718420789734E-2</v>
      </c>
      <c r="D34" s="43">
        <v>123512</v>
      </c>
      <c r="E34" s="44">
        <v>9.3884851345691481E-2</v>
      </c>
      <c r="F34" s="51">
        <v>20.842253186022354</v>
      </c>
      <c r="G34" s="47">
        <v>-79.157746813977639</v>
      </c>
      <c r="I34" s="10"/>
    </row>
    <row r="35" spans="1:10" x14ac:dyDescent="0.3">
      <c r="A35" s="41" t="s">
        <v>149</v>
      </c>
      <c r="B35" s="35">
        <v>60330</v>
      </c>
      <c r="C35" s="44">
        <v>0.19442036434885451</v>
      </c>
      <c r="D35" s="43">
        <v>93579</v>
      </c>
      <c r="E35" s="44">
        <v>7.1131958871028425E-2</v>
      </c>
      <c r="F35" s="51">
        <v>273.32350666929352</v>
      </c>
      <c r="G35" s="47">
        <v>173.32350666929352</v>
      </c>
      <c r="I35" s="10"/>
    </row>
    <row r="36" spans="1:10" x14ac:dyDescent="0.3">
      <c r="A36" s="41" t="s">
        <v>154</v>
      </c>
      <c r="B36" s="35">
        <v>29657</v>
      </c>
      <c r="C36" s="44">
        <v>9.5573093742648413E-2</v>
      </c>
      <c r="D36" s="43">
        <v>70603</v>
      </c>
      <c r="E36" s="44">
        <v>5.3667272488178118E-2</v>
      </c>
      <c r="F36" s="51">
        <v>178.08449975485777</v>
      </c>
      <c r="G36" s="47">
        <v>78.084499754857774</v>
      </c>
      <c r="I36" s="10"/>
    </row>
    <row r="37" spans="1:10" x14ac:dyDescent="0.3">
      <c r="A37" s="41" t="s">
        <v>150</v>
      </c>
      <c r="B37" s="35">
        <v>12263</v>
      </c>
      <c r="C37" s="44">
        <v>3.9518928029338686E-2</v>
      </c>
      <c r="D37" s="43">
        <v>105830</v>
      </c>
      <c r="E37" s="44">
        <v>8.0444279243430034E-2</v>
      </c>
      <c r="F37" s="51">
        <v>49.125840148000627</v>
      </c>
      <c r="G37" s="47">
        <v>-50.874159851999373</v>
      </c>
      <c r="I37" s="10"/>
    </row>
    <row r="38" spans="1:10" x14ac:dyDescent="0.3">
      <c r="A38" s="41" t="s">
        <v>153</v>
      </c>
      <c r="B38" s="35">
        <v>12220</v>
      </c>
      <c r="C38" s="44">
        <v>3.9380355583341659E-2</v>
      </c>
      <c r="D38" s="43">
        <v>116266</v>
      </c>
      <c r="E38" s="44">
        <v>8.8376968444832615E-2</v>
      </c>
      <c r="F38" s="51">
        <v>44.559523002787749</v>
      </c>
      <c r="G38" s="47">
        <v>-55.440476997212251</v>
      </c>
      <c r="I38" s="10"/>
    </row>
    <row r="39" spans="1:10" x14ac:dyDescent="0.3">
      <c r="A39" s="41" t="s">
        <v>151</v>
      </c>
      <c r="B39" s="35">
        <v>28906</v>
      </c>
      <c r="C39" s="44">
        <v>9.3152909860235181E-2</v>
      </c>
      <c r="D39" s="43">
        <v>159293</v>
      </c>
      <c r="E39" s="44">
        <v>0.12108296866222905</v>
      </c>
      <c r="F39" s="51">
        <v>76.93312353456821</v>
      </c>
      <c r="G39" s="47">
        <v>-23.06687646543179</v>
      </c>
      <c r="I39" s="10"/>
      <c r="J39" s="10"/>
    </row>
    <row r="40" spans="1:10" x14ac:dyDescent="0.3">
      <c r="A40" s="41" t="s">
        <v>152</v>
      </c>
      <c r="B40" s="35">
        <v>18370</v>
      </c>
      <c r="C40" s="44">
        <v>5.9199437975939954E-2</v>
      </c>
      <c r="D40" s="43">
        <v>126066</v>
      </c>
      <c r="E40" s="44">
        <v>9.5826216640860343E-2</v>
      </c>
      <c r="F40" s="65">
        <v>61.777914281859779</v>
      </c>
      <c r="G40" s="94">
        <v>-38.222085718140221</v>
      </c>
      <c r="I40" s="10"/>
      <c r="J40" s="10"/>
    </row>
    <row r="41" spans="1:10" x14ac:dyDescent="0.3">
      <c r="A41" s="41" t="s">
        <v>157</v>
      </c>
      <c r="B41" s="35">
        <v>9201</v>
      </c>
      <c r="C41" s="44">
        <v>2.9651280828340964E-2</v>
      </c>
      <c r="D41" s="43">
        <v>81021</v>
      </c>
      <c r="E41" s="44">
        <v>6.1586279396975759E-2</v>
      </c>
      <c r="F41" s="51">
        <v>48.145920030683023</v>
      </c>
      <c r="G41" s="47">
        <v>-51.854079969316977</v>
      </c>
      <c r="I41" s="10"/>
    </row>
    <row r="42" spans="1:10" x14ac:dyDescent="0.3">
      <c r="A42" s="41" t="s">
        <v>158</v>
      </c>
      <c r="B42" s="35">
        <v>2766</v>
      </c>
      <c r="C42" s="44">
        <v>8.9137531541344534E-3</v>
      </c>
      <c r="D42" s="43">
        <v>53391</v>
      </c>
      <c r="E42" s="44">
        <v>4.0583960248379215E-2</v>
      </c>
      <c r="F42" s="51">
        <v>21.9637341934624</v>
      </c>
      <c r="G42" s="47">
        <v>-78.0362658065376</v>
      </c>
      <c r="I42" s="10"/>
    </row>
    <row r="43" spans="1:10" x14ac:dyDescent="0.3">
      <c r="A43" s="41" t="s">
        <v>159</v>
      </c>
      <c r="B43" s="35">
        <v>5008</v>
      </c>
      <c r="C43" s="44">
        <v>1.613885603611907E-2</v>
      </c>
      <c r="D43" s="43">
        <v>19511</v>
      </c>
      <c r="E43" s="44">
        <v>1.4830845056397649E-2</v>
      </c>
      <c r="F43" s="51">
        <v>108.81953101625304</v>
      </c>
      <c r="G43" s="47">
        <v>8.8195310162530376</v>
      </c>
      <c r="I43" s="10"/>
    </row>
    <row r="44" spans="1:10" x14ac:dyDescent="0.3">
      <c r="A44" s="41" t="s">
        <v>160</v>
      </c>
      <c r="B44" s="35">
        <v>9955</v>
      </c>
      <c r="C44" s="44">
        <v>3.2081132555823746E-2</v>
      </c>
      <c r="D44" s="43">
        <v>50229</v>
      </c>
      <c r="E44" s="44">
        <v>3.8180437514109863E-2</v>
      </c>
      <c r="F44" s="51">
        <v>84.025052211536149</v>
      </c>
      <c r="G44" s="47">
        <v>-15.974947788463851</v>
      </c>
      <c r="I44" s="10"/>
    </row>
    <row r="45" spans="1:10" x14ac:dyDescent="0.3">
      <c r="A45" s="41" t="s">
        <v>161</v>
      </c>
      <c r="B45" s="35">
        <v>16139</v>
      </c>
      <c r="C45" s="44">
        <v>5.2009783859210394E-2</v>
      </c>
      <c r="D45" s="43">
        <v>62828</v>
      </c>
      <c r="E45" s="44">
        <v>4.7757282210207141E-2</v>
      </c>
      <c r="F45" s="51">
        <v>108.904404631498</v>
      </c>
      <c r="G45" s="47">
        <v>8.9044046314979965</v>
      </c>
      <c r="I45" s="10"/>
    </row>
    <row r="46" spans="1:10" x14ac:dyDescent="0.3">
      <c r="A46" s="41" t="s">
        <v>162</v>
      </c>
      <c r="B46" s="35">
        <v>14198</v>
      </c>
      <c r="C46" s="44">
        <v>4.5754688099204979E-2</v>
      </c>
      <c r="D46" s="43">
        <v>48241</v>
      </c>
      <c r="E46" s="44">
        <v>3.6669304308629955E-2</v>
      </c>
      <c r="F46" s="51">
        <v>124.77653711155033</v>
      </c>
      <c r="G46" s="47">
        <v>24.776537111550326</v>
      </c>
      <c r="I46" s="10"/>
    </row>
    <row r="47" spans="1:10" s="15" customFormat="1" x14ac:dyDescent="0.3">
      <c r="A47" s="41" t="s">
        <v>163</v>
      </c>
      <c r="B47" s="35">
        <v>12655</v>
      </c>
      <c r="C47" s="44">
        <v>4.078219311842788E-2</v>
      </c>
      <c r="D47" s="43">
        <v>22003</v>
      </c>
      <c r="E47" s="44">
        <v>1.6725082454816128E-2</v>
      </c>
      <c r="F47" s="51">
        <v>243.83851755950121</v>
      </c>
      <c r="G47" s="47">
        <v>143.83851755950121</v>
      </c>
    </row>
    <row r="48" spans="1:10" s="15" customFormat="1" x14ac:dyDescent="0.3">
      <c r="A48" s="41" t="s">
        <v>164</v>
      </c>
      <c r="B48" s="35">
        <v>10821</v>
      </c>
      <c r="C48" s="44">
        <v>3.4871917165903446E-2</v>
      </c>
      <c r="D48" s="43">
        <v>20307</v>
      </c>
      <c r="E48" s="44">
        <v>1.5435906440483167E-2</v>
      </c>
      <c r="F48" s="51">
        <v>225.91428174536085</v>
      </c>
      <c r="G48" s="47">
        <v>125.91428174536085</v>
      </c>
    </row>
    <row r="49" spans="1:8" s="15" customFormat="1" x14ac:dyDescent="0.3">
      <c r="A49" s="41" t="s">
        <v>165</v>
      </c>
      <c r="B49" s="35">
        <v>2945</v>
      </c>
      <c r="C49" s="44">
        <v>9.4906012432848762E-3</v>
      </c>
      <c r="D49" s="43">
        <v>7514</v>
      </c>
      <c r="E49" s="44">
        <v>5.7115970351992182E-3</v>
      </c>
      <c r="F49" s="51">
        <v>166.16370491119298</v>
      </c>
      <c r="G49" s="47">
        <v>66.16370491119298</v>
      </c>
    </row>
    <row r="50" spans="1:8" s="15" customFormat="1" x14ac:dyDescent="0.3">
      <c r="A50" s="41" t="s">
        <v>166</v>
      </c>
      <c r="B50" s="35">
        <v>5970</v>
      </c>
      <c r="C50" s="40">
        <v>1.9239011688424689E-2</v>
      </c>
      <c r="D50" s="43">
        <v>34666</v>
      </c>
      <c r="E50" s="40">
        <v>2.635057530239767E-2</v>
      </c>
      <c r="F50" s="65">
        <v>73.011733017738351</v>
      </c>
      <c r="G50" s="94">
        <v>-26.988266982261649</v>
      </c>
    </row>
    <row r="51" spans="1:8" s="15" customFormat="1" x14ac:dyDescent="0.3">
      <c r="A51" s="124" t="s">
        <v>55</v>
      </c>
      <c r="B51" s="125">
        <v>733</v>
      </c>
      <c r="C51" s="126" t="s">
        <v>134</v>
      </c>
      <c r="D51" s="127">
        <v>2860</v>
      </c>
      <c r="E51" s="126" t="s">
        <v>134</v>
      </c>
      <c r="F51" s="127"/>
      <c r="G51" s="128"/>
    </row>
    <row r="52" spans="1:8" x14ac:dyDescent="0.3">
      <c r="A52" s="64" t="s">
        <v>395</v>
      </c>
      <c r="B52" s="229">
        <v>310307</v>
      </c>
      <c r="C52" s="228"/>
      <c r="D52" s="227">
        <v>1315569</v>
      </c>
      <c r="E52" s="228"/>
      <c r="F52" s="60"/>
      <c r="G52" s="48"/>
    </row>
    <row r="53" spans="1:8" ht="15" customHeight="1" x14ac:dyDescent="0.3">
      <c r="A53" s="272" t="s">
        <v>418</v>
      </c>
      <c r="B53" s="272"/>
      <c r="C53" s="272"/>
      <c r="D53" s="272"/>
      <c r="E53" s="272"/>
      <c r="F53" s="272"/>
      <c r="G53" s="272"/>
    </row>
    <row r="54" spans="1:8" x14ac:dyDescent="0.3">
      <c r="A54" s="18"/>
      <c r="B54" s="18"/>
      <c r="C54" s="18"/>
      <c r="D54" s="18"/>
      <c r="E54" s="18"/>
      <c r="F54" s="18"/>
    </row>
    <row r="55" spans="1:8" ht="16.5" x14ac:dyDescent="0.3">
      <c r="A55" s="17" t="s">
        <v>76</v>
      </c>
      <c r="B55" s="16"/>
      <c r="C55" s="16"/>
      <c r="D55" s="16"/>
      <c r="E55" s="16"/>
      <c r="F55" s="16"/>
      <c r="G55" s="49"/>
    </row>
    <row r="56" spans="1:8" ht="39.950000000000003" customHeight="1" x14ac:dyDescent="0.3">
      <c r="A56" s="251" t="s">
        <v>77</v>
      </c>
      <c r="B56" s="230" t="s">
        <v>888</v>
      </c>
      <c r="C56" s="246" t="s">
        <v>888</v>
      </c>
      <c r="D56" s="230" t="s">
        <v>889</v>
      </c>
      <c r="E56" s="231" t="s">
        <v>889</v>
      </c>
      <c r="F56" s="238" t="s">
        <v>1</v>
      </c>
      <c r="G56" s="239" t="s">
        <v>1</v>
      </c>
    </row>
    <row r="57" spans="1:8" x14ac:dyDescent="0.3">
      <c r="A57" s="242" t="s">
        <v>871</v>
      </c>
      <c r="B57" s="37" t="s">
        <v>74</v>
      </c>
      <c r="C57" s="38" t="s">
        <v>75</v>
      </c>
      <c r="D57" s="36" t="s">
        <v>74</v>
      </c>
      <c r="E57" s="38" t="s">
        <v>75</v>
      </c>
      <c r="F57" s="240" t="s">
        <v>869</v>
      </c>
      <c r="G57" s="241" t="s">
        <v>870</v>
      </c>
    </row>
    <row r="58" spans="1:8" x14ac:dyDescent="0.3">
      <c r="A58" s="41" t="s">
        <v>56</v>
      </c>
      <c r="B58" s="35">
        <v>46496</v>
      </c>
      <c r="C58" s="50">
        <v>0.14948655791253801</v>
      </c>
      <c r="D58" s="51">
        <v>59506</v>
      </c>
      <c r="E58" s="50">
        <v>4.5134840963133485E-2</v>
      </c>
      <c r="F58" s="51">
        <v>331.19992166282339</v>
      </c>
      <c r="G58" s="47">
        <v>231.19992166282339</v>
      </c>
    </row>
    <row r="59" spans="1:8" x14ac:dyDescent="0.3">
      <c r="A59" s="41" t="s">
        <v>57</v>
      </c>
      <c r="B59" s="35">
        <v>9737</v>
      </c>
      <c r="C59" s="44">
        <v>3.1304856641310705E-2</v>
      </c>
      <c r="D59" s="43">
        <v>104637</v>
      </c>
      <c r="E59" s="44">
        <v>7.9366355558420976E-2</v>
      </c>
      <c r="F59" s="51">
        <v>39.443485115386757</v>
      </c>
      <c r="G59" s="47">
        <v>-60.556514884613243</v>
      </c>
    </row>
    <row r="60" spans="1:8" x14ac:dyDescent="0.3">
      <c r="A60" s="41" t="s">
        <v>58</v>
      </c>
      <c r="B60" s="35">
        <v>1697</v>
      </c>
      <c r="C60" s="44">
        <v>5.4559249995177438E-3</v>
      </c>
      <c r="D60" s="43">
        <v>98327</v>
      </c>
      <c r="E60" s="44">
        <v>7.4580269340604743E-2</v>
      </c>
      <c r="F60" s="51">
        <v>7.315507235031264</v>
      </c>
      <c r="G60" s="47">
        <v>-92.684492764968738</v>
      </c>
    </row>
    <row r="61" spans="1:8" x14ac:dyDescent="0.3">
      <c r="A61" s="41" t="s">
        <v>59</v>
      </c>
      <c r="B61" s="35">
        <v>240</v>
      </c>
      <c r="C61" s="44">
        <v>7.7160989975501391E-4</v>
      </c>
      <c r="D61" s="43">
        <v>69983</v>
      </c>
      <c r="E61" s="44">
        <v>5.3081564466154176E-2</v>
      </c>
      <c r="F61" s="51">
        <v>1.4536306672856396</v>
      </c>
      <c r="G61" s="47">
        <v>-98.546369332714363</v>
      </c>
    </row>
    <row r="62" spans="1:8" x14ac:dyDescent="0.3">
      <c r="A62" s="41" t="s">
        <v>60</v>
      </c>
      <c r="B62" s="35">
        <v>13799</v>
      </c>
      <c r="C62" s="44">
        <v>4.4364354194664314E-2</v>
      </c>
      <c r="D62" s="43">
        <v>101678</v>
      </c>
      <c r="E62" s="44">
        <v>7.7121976934250103E-2</v>
      </c>
      <c r="F62" s="51">
        <v>57.524918263553971</v>
      </c>
      <c r="G62" s="47">
        <v>-42.475081736446029</v>
      </c>
      <c r="H62" s="10"/>
    </row>
    <row r="63" spans="1:8" x14ac:dyDescent="0.3">
      <c r="A63" s="41" t="s">
        <v>61</v>
      </c>
      <c r="B63" s="35">
        <v>8100</v>
      </c>
      <c r="C63" s="44">
        <v>2.6041834116731718E-2</v>
      </c>
      <c r="D63" s="43">
        <v>74142</v>
      </c>
      <c r="E63" s="44">
        <v>5.6236133813206107E-2</v>
      </c>
      <c r="F63" s="51">
        <v>46.308009372109844</v>
      </c>
      <c r="G63" s="47">
        <v>-53.691990627890156</v>
      </c>
      <c r="H63" s="10"/>
    </row>
    <row r="64" spans="1:8" x14ac:dyDescent="0.3">
      <c r="A64" s="41" t="s">
        <v>62</v>
      </c>
      <c r="B64" s="35">
        <v>16971</v>
      </c>
      <c r="C64" s="44">
        <v>5.4562465036426415E-2</v>
      </c>
      <c r="D64" s="43">
        <v>128518</v>
      </c>
      <c r="E64" s="44">
        <v>9.7479909436023068E-2</v>
      </c>
      <c r="F64" s="51">
        <v>55.973036241110016</v>
      </c>
      <c r="G64" s="47">
        <v>-44.026963758889984</v>
      </c>
      <c r="H64" s="10"/>
    </row>
    <row r="65" spans="1:13" x14ac:dyDescent="0.3">
      <c r="A65" s="41" t="s">
        <v>63</v>
      </c>
      <c r="B65" s="35">
        <v>33774</v>
      </c>
      <c r="C65" s="44">
        <v>0.10858480314302432</v>
      </c>
      <c r="D65" s="43">
        <v>193356</v>
      </c>
      <c r="E65" s="44">
        <v>0.14665903117782472</v>
      </c>
      <c r="F65" s="51">
        <v>74.038947530864817</v>
      </c>
      <c r="G65" s="47">
        <v>-25.961052469135183</v>
      </c>
      <c r="H65" s="10"/>
    </row>
    <row r="66" spans="1:13" x14ac:dyDescent="0.3">
      <c r="A66" s="41" t="s">
        <v>64</v>
      </c>
      <c r="B66" s="35">
        <v>26575</v>
      </c>
      <c r="C66" s="44">
        <v>8.5439721191622894E-2</v>
      </c>
      <c r="D66" s="43">
        <v>99663</v>
      </c>
      <c r="E66" s="44">
        <v>7.5593615012078993E-2</v>
      </c>
      <c r="F66" s="51">
        <v>113.02505003626378</v>
      </c>
      <c r="G66" s="47">
        <v>13.025050036263778</v>
      </c>
      <c r="H66" s="10"/>
    </row>
    <row r="67" spans="1:13" x14ac:dyDescent="0.3">
      <c r="A67" s="41" t="s">
        <v>65</v>
      </c>
      <c r="B67" s="35">
        <v>10812</v>
      </c>
      <c r="C67" s="44">
        <v>3.4761025983963377E-2</v>
      </c>
      <c r="D67" s="43">
        <v>54289</v>
      </c>
      <c r="E67" s="44">
        <v>4.1177786795408088E-2</v>
      </c>
      <c r="F67" s="65">
        <v>84.416936142473133</v>
      </c>
      <c r="G67" s="94">
        <v>-15.583063857526867</v>
      </c>
      <c r="H67" s="10"/>
    </row>
    <row r="68" spans="1:13" x14ac:dyDescent="0.3">
      <c r="A68" s="41" t="s">
        <v>66</v>
      </c>
      <c r="B68" s="35">
        <v>14955</v>
      </c>
      <c r="C68" s="44">
        <v>4.8080941878484301E-2</v>
      </c>
      <c r="D68" s="43">
        <v>29623</v>
      </c>
      <c r="E68" s="44">
        <v>2.246881648658796E-2</v>
      </c>
      <c r="F68" s="51">
        <v>213.98965053270462</v>
      </c>
      <c r="G68" s="47">
        <v>113.98965053270462</v>
      </c>
      <c r="H68" s="10"/>
    </row>
    <row r="69" spans="1:13" x14ac:dyDescent="0.3">
      <c r="A69" s="41" t="s">
        <v>67</v>
      </c>
      <c r="B69" s="35">
        <v>11850</v>
      </c>
      <c r="C69" s="44">
        <v>3.8098238800403812E-2</v>
      </c>
      <c r="D69" s="43">
        <v>66843</v>
      </c>
      <c r="E69" s="44">
        <v>5.0699898741282078E-2</v>
      </c>
      <c r="F69" s="51">
        <v>75.144605307431434</v>
      </c>
      <c r="G69" s="47">
        <v>-24.855394692568566</v>
      </c>
      <c r="H69" s="10"/>
    </row>
    <row r="70" spans="1:13" x14ac:dyDescent="0.3">
      <c r="A70" s="41" t="s">
        <v>68</v>
      </c>
      <c r="B70" s="35">
        <v>8247</v>
      </c>
      <c r="C70" s="44">
        <v>2.6514445180331664E-2</v>
      </c>
      <c r="D70" s="43">
        <v>46109</v>
      </c>
      <c r="E70" s="44">
        <v>3.4973320034435547E-2</v>
      </c>
      <c r="F70" s="51">
        <v>75.813349016407145</v>
      </c>
      <c r="G70" s="47">
        <v>-24.186650983592855</v>
      </c>
      <c r="H70" s="10"/>
    </row>
    <row r="71" spans="1:13" s="15" customFormat="1" x14ac:dyDescent="0.3">
      <c r="A71" s="41" t="s">
        <v>69</v>
      </c>
      <c r="B71" s="35">
        <v>20687</v>
      </c>
      <c r="C71" s="44">
        <v>6.6509558317633222E-2</v>
      </c>
      <c r="D71" s="43">
        <v>33953</v>
      </c>
      <c r="E71" s="44">
        <v>2.5753088011650441E-2</v>
      </c>
      <c r="F71" s="51">
        <v>258.25857577757262</v>
      </c>
      <c r="G71" s="47">
        <v>158.25857577757262</v>
      </c>
      <c r="H71" s="10"/>
    </row>
    <row r="72" spans="1:13" s="15" customFormat="1" x14ac:dyDescent="0.3">
      <c r="A72" s="41" t="s">
        <v>70</v>
      </c>
      <c r="B72" s="35">
        <v>87097</v>
      </c>
      <c r="C72" s="44">
        <v>0.28002044766234352</v>
      </c>
      <c r="D72" s="43">
        <v>157778</v>
      </c>
      <c r="E72" s="44">
        <v>0.11967339322893951</v>
      </c>
      <c r="F72" s="51">
        <v>233.98722147591678</v>
      </c>
      <c r="G72" s="47">
        <v>133.98722147591678</v>
      </c>
      <c r="H72" s="10"/>
    </row>
    <row r="73" spans="1:13" s="15" customFormat="1" x14ac:dyDescent="0.3">
      <c r="A73" s="124" t="s">
        <v>55</v>
      </c>
      <c r="B73" s="125">
        <v>0</v>
      </c>
      <c r="C73" s="126" t="s">
        <v>134</v>
      </c>
      <c r="D73" s="127">
        <v>0</v>
      </c>
      <c r="E73" s="126" t="s">
        <v>134</v>
      </c>
      <c r="F73" s="127"/>
      <c r="G73" s="128"/>
    </row>
    <row r="74" spans="1:13" x14ac:dyDescent="0.3">
      <c r="A74" s="64" t="s">
        <v>395</v>
      </c>
      <c r="B74" s="229">
        <v>311038</v>
      </c>
      <c r="C74" s="228"/>
      <c r="D74" s="227">
        <v>1318405</v>
      </c>
      <c r="E74" s="228"/>
      <c r="F74" s="60"/>
      <c r="G74" s="48"/>
    </row>
    <row r="75" spans="1:13" ht="15" customHeight="1" x14ac:dyDescent="0.3">
      <c r="A75" s="272" t="s">
        <v>418</v>
      </c>
      <c r="B75" s="272"/>
      <c r="C75" s="272"/>
      <c r="D75" s="272"/>
      <c r="E75" s="272"/>
      <c r="F75" s="272"/>
      <c r="G75" s="272"/>
    </row>
    <row r="76" spans="1:13" ht="15" customHeight="1" x14ac:dyDescent="0.3">
      <c r="A76" s="45"/>
      <c r="B76" s="45"/>
      <c r="C76" s="45"/>
      <c r="D76" s="45"/>
      <c r="E76" s="45"/>
      <c r="F76" s="45"/>
      <c r="G76" s="45"/>
    </row>
    <row r="77" spans="1:13" ht="9.75" customHeight="1" x14ac:dyDescent="0.3">
      <c r="A77" s="273" t="s">
        <v>527</v>
      </c>
      <c r="B77" s="273"/>
      <c r="C77" s="273"/>
      <c r="D77" s="273"/>
      <c r="E77" s="273"/>
      <c r="F77" s="273"/>
      <c r="G77" s="273"/>
      <c r="I77" s="20"/>
      <c r="J77" s="20"/>
      <c r="K77" s="20"/>
      <c r="L77" s="20"/>
      <c r="M77" s="20"/>
    </row>
    <row r="78" spans="1:13" ht="9.75" customHeight="1" x14ac:dyDescent="0.3">
      <c r="A78" s="273"/>
      <c r="B78" s="273"/>
      <c r="C78" s="273"/>
      <c r="D78" s="273"/>
      <c r="E78" s="273"/>
      <c r="F78" s="273"/>
      <c r="G78" s="273"/>
      <c r="I78" s="20"/>
      <c r="J78" s="20"/>
      <c r="K78" s="20"/>
      <c r="L78" s="20"/>
      <c r="M78" s="20"/>
    </row>
    <row r="79" spans="1:13" x14ac:dyDescent="0.3">
      <c r="A79" s="5"/>
      <c r="D79" s="5"/>
      <c r="E79" s="5"/>
      <c r="F79" s="5"/>
      <c r="G79" s="53"/>
    </row>
    <row r="80" spans="1:13" x14ac:dyDescent="0.3">
      <c r="A80" s="5"/>
      <c r="D80" s="5"/>
      <c r="E80" s="5"/>
      <c r="F80" s="5"/>
      <c r="G80" s="53"/>
    </row>
    <row r="85" spans="1:3" x14ac:dyDescent="0.3">
      <c r="A85" s="2"/>
      <c r="B85" s="2"/>
      <c r="C85" s="2"/>
    </row>
    <row r="86" spans="1:3" x14ac:dyDescent="0.3">
      <c r="A86" s="2"/>
      <c r="B86" s="2"/>
      <c r="C86" s="2"/>
    </row>
    <row r="87" spans="1:3" x14ac:dyDescent="0.3">
      <c r="A87" s="2"/>
      <c r="B87" s="2"/>
      <c r="C87" s="2"/>
    </row>
    <row r="88" spans="1:3" x14ac:dyDescent="0.3">
      <c r="A88" s="2"/>
      <c r="B88" s="2"/>
      <c r="C88" s="2"/>
    </row>
    <row r="89" spans="1:3" x14ac:dyDescent="0.3">
      <c r="A89" s="2"/>
      <c r="B89" s="2"/>
      <c r="C89" s="2"/>
    </row>
    <row r="90" spans="1:3" x14ac:dyDescent="0.3">
      <c r="A90" s="2"/>
      <c r="B90" s="2"/>
      <c r="C90" s="2"/>
    </row>
    <row r="91" spans="1:3" x14ac:dyDescent="0.3">
      <c r="A91" s="2"/>
      <c r="B91" s="2"/>
      <c r="C91" s="2"/>
    </row>
    <row r="92" spans="1:3" x14ac:dyDescent="0.3">
      <c r="A92" s="2"/>
      <c r="B92" s="2"/>
      <c r="C92" s="2"/>
    </row>
    <row r="93" spans="1:3" x14ac:dyDescent="0.3">
      <c r="A93" s="2"/>
      <c r="B93" s="2"/>
      <c r="C93" s="2"/>
    </row>
    <row r="94" spans="1:3" x14ac:dyDescent="0.3">
      <c r="A94" s="2"/>
      <c r="B94" s="2"/>
      <c r="C94" s="2"/>
    </row>
    <row r="95" spans="1:3" x14ac:dyDescent="0.3">
      <c r="A95" s="2"/>
      <c r="B95" s="2"/>
      <c r="C95" s="2"/>
    </row>
    <row r="96" spans="1:3" x14ac:dyDescent="0.3">
      <c r="A96" s="2"/>
      <c r="B96" s="2"/>
      <c r="C96" s="2"/>
    </row>
    <row r="97" spans="1:3" x14ac:dyDescent="0.3">
      <c r="A97" s="2"/>
      <c r="B97" s="2"/>
      <c r="C97" s="2"/>
    </row>
    <row r="98" spans="1:3" x14ac:dyDescent="0.3">
      <c r="A98" s="2"/>
      <c r="B98" s="2"/>
      <c r="C98" s="2"/>
    </row>
    <row r="99" spans="1:3" x14ac:dyDescent="0.3">
      <c r="A99" s="2"/>
      <c r="B99" s="2"/>
      <c r="C99" s="2"/>
    </row>
    <row r="100" spans="1:3" x14ac:dyDescent="0.3">
      <c r="A100" s="2"/>
      <c r="B100" s="2"/>
      <c r="C100" s="2"/>
    </row>
    <row r="101" spans="1:3" x14ac:dyDescent="0.3">
      <c r="A101" s="2"/>
      <c r="B101" s="2"/>
      <c r="C101" s="2"/>
    </row>
    <row r="102" spans="1:3" x14ac:dyDescent="0.3">
      <c r="A102" s="2"/>
      <c r="B102" s="2"/>
      <c r="C102" s="2"/>
    </row>
    <row r="103" spans="1:3" x14ac:dyDescent="0.3">
      <c r="A103" s="2"/>
      <c r="B103" s="2"/>
      <c r="C103" s="2"/>
    </row>
    <row r="104" spans="1:3" x14ac:dyDescent="0.3">
      <c r="A104" s="2"/>
      <c r="B104" s="2"/>
      <c r="C104" s="2"/>
    </row>
    <row r="105" spans="1:3" x14ac:dyDescent="0.3">
      <c r="A105" s="2"/>
      <c r="B105" s="2"/>
      <c r="C105" s="2"/>
    </row>
    <row r="106" spans="1:3" x14ac:dyDescent="0.3">
      <c r="A106" s="2"/>
      <c r="B106" s="2"/>
      <c r="C106" s="2"/>
    </row>
    <row r="107" spans="1:3" x14ac:dyDescent="0.3">
      <c r="A107" s="2"/>
      <c r="B107" s="2"/>
      <c r="C107" s="2"/>
    </row>
    <row r="108" spans="1:3" x14ac:dyDescent="0.3">
      <c r="A108" s="2"/>
      <c r="B108" s="2"/>
      <c r="C108" s="2"/>
    </row>
    <row r="109" spans="1:3" x14ac:dyDescent="0.3">
      <c r="A109" s="2"/>
      <c r="B109" s="2"/>
      <c r="C109" s="2"/>
    </row>
    <row r="110" spans="1:3" x14ac:dyDescent="0.3">
      <c r="A110" s="2"/>
      <c r="B110" s="2"/>
      <c r="C110" s="2"/>
    </row>
    <row r="111" spans="1:3" x14ac:dyDescent="0.3">
      <c r="A111" s="2"/>
      <c r="B111" s="2"/>
      <c r="C111" s="2"/>
    </row>
    <row r="112" spans="1:3" x14ac:dyDescent="0.3">
      <c r="A112" s="2"/>
      <c r="B112" s="2"/>
      <c r="C112" s="2"/>
    </row>
    <row r="113" spans="1:3" x14ac:dyDescent="0.3">
      <c r="A113" s="2"/>
      <c r="B113" s="2"/>
      <c r="C113" s="2"/>
    </row>
    <row r="114" spans="1:3" x14ac:dyDescent="0.3">
      <c r="A114" s="2"/>
      <c r="B114" s="2"/>
      <c r="C114" s="2"/>
    </row>
    <row r="115" spans="1:3" x14ac:dyDescent="0.3">
      <c r="A115" s="2"/>
      <c r="B115" s="2"/>
      <c r="C115" s="2"/>
    </row>
    <row r="116" spans="1:3" x14ac:dyDescent="0.3">
      <c r="A116" s="2"/>
      <c r="B116" s="2"/>
      <c r="C116" s="2"/>
    </row>
    <row r="117" spans="1:3" x14ac:dyDescent="0.3">
      <c r="A117" s="2"/>
      <c r="B117" s="2"/>
      <c r="C117" s="2"/>
    </row>
    <row r="118" spans="1:3" x14ac:dyDescent="0.3">
      <c r="A118" s="2"/>
      <c r="B118" s="2"/>
      <c r="C118" s="2"/>
    </row>
    <row r="119" spans="1:3" x14ac:dyDescent="0.3">
      <c r="A119" s="2"/>
      <c r="B119" s="2"/>
      <c r="C119" s="2"/>
    </row>
    <row r="120" spans="1:3" x14ac:dyDescent="0.3">
      <c r="A120" s="2"/>
      <c r="B120" s="2"/>
      <c r="C120" s="2"/>
    </row>
    <row r="121" spans="1:3" x14ac:dyDescent="0.3">
      <c r="A121" s="2"/>
      <c r="B121" s="2"/>
      <c r="C121" s="2"/>
    </row>
    <row r="122" spans="1:3" x14ac:dyDescent="0.3">
      <c r="A122" s="2"/>
      <c r="B122" s="2"/>
      <c r="C122" s="2"/>
    </row>
    <row r="123" spans="1:3" x14ac:dyDescent="0.3">
      <c r="A123" s="2"/>
      <c r="B123" s="2"/>
      <c r="C123" s="2"/>
    </row>
    <row r="124" spans="1:3" x14ac:dyDescent="0.3">
      <c r="A124" s="2"/>
      <c r="B124" s="2"/>
      <c r="C124" s="2"/>
    </row>
    <row r="125" spans="1:3" x14ac:dyDescent="0.3">
      <c r="A125" s="2"/>
      <c r="B125" s="2"/>
      <c r="C125" s="2"/>
    </row>
    <row r="126" spans="1:3" x14ac:dyDescent="0.3">
      <c r="A126" s="2"/>
      <c r="B126" s="2"/>
      <c r="C126" s="2"/>
    </row>
    <row r="127" spans="1:3" x14ac:dyDescent="0.3">
      <c r="A127" s="2"/>
      <c r="B127" s="2"/>
      <c r="C127" s="2"/>
    </row>
    <row r="128" spans="1:3" x14ac:dyDescent="0.3">
      <c r="A128" s="2"/>
      <c r="B128" s="2"/>
      <c r="C128" s="2"/>
    </row>
    <row r="129" spans="1:3" x14ac:dyDescent="0.3">
      <c r="A129" s="2"/>
      <c r="B129" s="2"/>
      <c r="C129" s="2"/>
    </row>
    <row r="130" spans="1:3" x14ac:dyDescent="0.3">
      <c r="A130" s="2"/>
      <c r="B130" s="2"/>
      <c r="C130" s="2"/>
    </row>
    <row r="131" spans="1:3" x14ac:dyDescent="0.3">
      <c r="A131" s="2"/>
      <c r="B131" s="2"/>
      <c r="C131" s="2"/>
    </row>
    <row r="132" spans="1:3" x14ac:dyDescent="0.3">
      <c r="A132" s="2"/>
      <c r="B132" s="2"/>
      <c r="C132" s="2"/>
    </row>
    <row r="133" spans="1:3" x14ac:dyDescent="0.3">
      <c r="A133" s="2"/>
      <c r="B133" s="2"/>
      <c r="C133" s="2"/>
    </row>
    <row r="134" spans="1:3" x14ac:dyDescent="0.3">
      <c r="A134" s="2"/>
      <c r="B134" s="2"/>
      <c r="C134" s="2"/>
    </row>
    <row r="135" spans="1:3" x14ac:dyDescent="0.3">
      <c r="A135" s="2"/>
      <c r="B135" s="2"/>
      <c r="C135" s="2"/>
    </row>
    <row r="136" spans="1:3" x14ac:dyDescent="0.3">
      <c r="A136" s="2"/>
      <c r="B136" s="2"/>
      <c r="C136" s="2"/>
    </row>
    <row r="137" spans="1:3" x14ac:dyDescent="0.3">
      <c r="A137" s="2"/>
      <c r="B137" s="2"/>
      <c r="C137" s="2"/>
    </row>
    <row r="138" spans="1:3" x14ac:dyDescent="0.3">
      <c r="A138" s="2"/>
      <c r="B138" s="2"/>
      <c r="C138" s="2"/>
    </row>
    <row r="139" spans="1:3" x14ac:dyDescent="0.3">
      <c r="A139" s="2"/>
      <c r="B139" s="2"/>
      <c r="C139" s="2"/>
    </row>
    <row r="140" spans="1:3" x14ac:dyDescent="0.3">
      <c r="A140" s="2"/>
      <c r="B140" s="2"/>
      <c r="C140" s="2"/>
    </row>
    <row r="141" spans="1:3" x14ac:dyDescent="0.3">
      <c r="A141" s="2"/>
      <c r="B141" s="2"/>
      <c r="C141" s="2"/>
    </row>
    <row r="142" spans="1:3" x14ac:dyDescent="0.3">
      <c r="A142" s="2"/>
      <c r="B142" s="2"/>
      <c r="C142" s="2"/>
    </row>
    <row r="143" spans="1:3" x14ac:dyDescent="0.3">
      <c r="A143" s="2"/>
      <c r="B143" s="2"/>
      <c r="C143" s="2"/>
    </row>
    <row r="144" spans="1:3" x14ac:dyDescent="0.3">
      <c r="A144" s="2"/>
      <c r="B144" s="2"/>
      <c r="C144" s="2"/>
    </row>
    <row r="145" spans="1:3" x14ac:dyDescent="0.3">
      <c r="A145" s="2"/>
      <c r="B145" s="2"/>
      <c r="C145" s="2"/>
    </row>
    <row r="146" spans="1:3" x14ac:dyDescent="0.3">
      <c r="A146" s="2"/>
      <c r="B146" s="2"/>
      <c r="C146" s="2"/>
    </row>
    <row r="147" spans="1:3" x14ac:dyDescent="0.3">
      <c r="A147" s="2"/>
      <c r="B147" s="2"/>
      <c r="C147" s="2"/>
    </row>
    <row r="148" spans="1:3" x14ac:dyDescent="0.3">
      <c r="A148" s="2"/>
      <c r="B148" s="2"/>
      <c r="C148" s="2"/>
    </row>
    <row r="149" spans="1:3" x14ac:dyDescent="0.3">
      <c r="A149" s="2"/>
      <c r="B149" s="2"/>
      <c r="C149" s="2"/>
    </row>
    <row r="150" spans="1:3" x14ac:dyDescent="0.3">
      <c r="A150" s="2"/>
      <c r="B150" s="2"/>
      <c r="C150" s="2"/>
    </row>
    <row r="151" spans="1:3" x14ac:dyDescent="0.3">
      <c r="A151" s="2"/>
      <c r="B151" s="2"/>
      <c r="C151" s="2"/>
    </row>
    <row r="152" spans="1:3" x14ac:dyDescent="0.3">
      <c r="A152" s="2"/>
      <c r="B152" s="2"/>
      <c r="C152" s="2"/>
    </row>
    <row r="153" spans="1:3" x14ac:dyDescent="0.3">
      <c r="A153" s="2"/>
      <c r="B153" s="2"/>
      <c r="C153" s="2"/>
    </row>
    <row r="154" spans="1:3" x14ac:dyDescent="0.3">
      <c r="A154" s="2"/>
      <c r="B154" s="2"/>
      <c r="C154" s="2"/>
    </row>
    <row r="155" spans="1:3" x14ac:dyDescent="0.3">
      <c r="A155" s="2"/>
      <c r="B155" s="2"/>
      <c r="C155" s="2"/>
    </row>
    <row r="156" spans="1:3" x14ac:dyDescent="0.3">
      <c r="A156" s="2"/>
      <c r="B156" s="2"/>
      <c r="C156" s="2"/>
    </row>
    <row r="157" spans="1:3" x14ac:dyDescent="0.3">
      <c r="A157" s="2"/>
      <c r="B157" s="2"/>
      <c r="C157" s="2"/>
    </row>
    <row r="158" spans="1:3" x14ac:dyDescent="0.3">
      <c r="A158" s="2"/>
      <c r="B158" s="2"/>
      <c r="C158" s="2"/>
    </row>
    <row r="159" spans="1:3" x14ac:dyDescent="0.3">
      <c r="A159" s="2"/>
      <c r="B159" s="2"/>
      <c r="C159" s="2"/>
    </row>
    <row r="160" spans="1:3" x14ac:dyDescent="0.3">
      <c r="A160" s="2"/>
      <c r="B160" s="2"/>
      <c r="C160" s="2"/>
    </row>
    <row r="161" spans="1:3" x14ac:dyDescent="0.3">
      <c r="A161" s="2"/>
      <c r="B161" s="2"/>
      <c r="C161" s="2"/>
    </row>
    <row r="162" spans="1:3" x14ac:dyDescent="0.3">
      <c r="A162" s="2"/>
      <c r="B162" s="2"/>
      <c r="C162" s="2"/>
    </row>
    <row r="163" spans="1:3" x14ac:dyDescent="0.3">
      <c r="A163" s="2"/>
      <c r="B163" s="2"/>
      <c r="C163" s="2"/>
    </row>
    <row r="164" spans="1:3" x14ac:dyDescent="0.3">
      <c r="A164" s="2"/>
      <c r="B164" s="2"/>
      <c r="C164" s="2"/>
    </row>
  </sheetData>
  <mergeCells count="6">
    <mergeCell ref="A26:G26"/>
    <mergeCell ref="A4:G5"/>
    <mergeCell ref="A78:G78"/>
    <mergeCell ref="A77:G77"/>
    <mergeCell ref="A75:G75"/>
    <mergeCell ref="A53:G53"/>
  </mergeCells>
  <conditionalFormatting sqref="F14:F24">
    <cfRule type="cellIs" dxfId="193" priority="46" operator="greaterThan">
      <formula>110</formula>
    </cfRule>
    <cfRule type="cellIs" dxfId="192" priority="47" operator="lessThan">
      <formula>90</formula>
    </cfRule>
  </conditionalFormatting>
  <conditionalFormatting sqref="F31:F50">
    <cfRule type="cellIs" dxfId="191" priority="9" operator="greaterThan">
      <formula>110</formula>
    </cfRule>
    <cfRule type="cellIs" dxfId="190" priority="10" operator="lessThan">
      <formula>90</formula>
    </cfRule>
  </conditionalFormatting>
  <conditionalFormatting sqref="F51">
    <cfRule type="cellIs" dxfId="189" priority="29" operator="greaterThan">
      <formula>110</formula>
    </cfRule>
    <cfRule type="cellIs" dxfId="188" priority="30" operator="lessThan">
      <formula>90</formula>
    </cfRule>
  </conditionalFormatting>
  <conditionalFormatting sqref="F58:F72">
    <cfRule type="cellIs" dxfId="187" priority="4" operator="greaterThan">
      <formula>110</formula>
    </cfRule>
    <cfRule type="cellIs" dxfId="186" priority="5" operator="lessThan">
      <formula>90</formula>
    </cfRule>
  </conditionalFormatting>
  <conditionalFormatting sqref="F73">
    <cfRule type="cellIs" dxfId="185" priority="24" operator="greaterThan">
      <formula>110</formula>
    </cfRule>
    <cfRule type="cellIs" dxfId="184" priority="25" operator="lessThan">
      <formula>90</formula>
    </cfRule>
  </conditionalFormatting>
  <conditionalFormatting sqref="G14:G24">
    <cfRule type="expression" dxfId="183" priority="43">
      <formula>AND(F14&lt;=90,(E14-C14&gt;=0.05))</formula>
    </cfRule>
    <cfRule type="expression" dxfId="182" priority="44">
      <formula>AND(F14&gt;=110,(C14-E14&gt;=0.05))</formula>
    </cfRule>
    <cfRule type="dataBar" priority="45">
      <dataBar showValue="0">
        <cfvo type="num" val="-100"/>
        <cfvo type="num" val="200"/>
        <color theme="8"/>
      </dataBar>
      <extLst>
        <ext xmlns:x14="http://schemas.microsoft.com/office/spreadsheetml/2009/9/main" uri="{B025F937-C7B1-47D3-B67F-A62EFF666E3E}">
          <x14:id>{AD637FA0-E332-41A2-AF11-9FB9DACDD862}</x14:id>
        </ext>
      </extLst>
    </cfRule>
  </conditionalFormatting>
  <conditionalFormatting sqref="G31:G50">
    <cfRule type="expression" dxfId="181" priority="6">
      <formula>AND(F31&lt;=90,(E31-C31&gt;=0.05))</formula>
    </cfRule>
    <cfRule type="expression" dxfId="180" priority="7">
      <formula>AND(F31&gt;=110,(C31-E31&gt;=0.05))</formula>
    </cfRule>
    <cfRule type="dataBar" priority="8">
      <dataBar showValue="0">
        <cfvo type="num" val="-100"/>
        <cfvo type="num" val="200"/>
        <color theme="8"/>
      </dataBar>
      <extLst>
        <ext xmlns:x14="http://schemas.microsoft.com/office/spreadsheetml/2009/9/main" uri="{B025F937-C7B1-47D3-B67F-A62EFF666E3E}">
          <x14:id>{CD286FA2-BBE7-4A59-9EA1-EBE9435E9775}</x14:id>
        </ext>
      </extLst>
    </cfRule>
  </conditionalFormatting>
  <conditionalFormatting sqref="G51">
    <cfRule type="expression" dxfId="179" priority="26">
      <formula>AND(F51&lt;=90,(E51-C51&gt;=0.05))</formula>
    </cfRule>
    <cfRule type="expression" dxfId="178" priority="27">
      <formula>AND(F51&gt;=110,(C51-E51&gt;=0.05))</formula>
    </cfRule>
    <cfRule type="dataBar" priority="28">
      <dataBar showValue="0">
        <cfvo type="num" val="-100"/>
        <cfvo type="num" val="200"/>
        <color theme="6"/>
      </dataBar>
      <extLst>
        <ext xmlns:x14="http://schemas.microsoft.com/office/spreadsheetml/2009/9/main" uri="{B025F937-C7B1-47D3-B67F-A62EFF666E3E}">
          <x14:id>{9DD06A93-501C-44B1-B019-734372AF3021}</x14:id>
        </ext>
      </extLst>
    </cfRule>
  </conditionalFormatting>
  <conditionalFormatting sqref="G58:G72">
    <cfRule type="expression" dxfId="177" priority="1">
      <formula>AND(F58&lt;=90,(E58-C58&gt;=0.05))</formula>
    </cfRule>
    <cfRule type="expression" dxfId="176" priority="2">
      <formula>AND(F58&gt;=110,(C58-E58&gt;=0.05))</formula>
    </cfRule>
    <cfRule type="dataBar" priority="3">
      <dataBar showValue="0">
        <cfvo type="num" val="-100"/>
        <cfvo type="num" val="200"/>
        <color theme="8"/>
      </dataBar>
      <extLst>
        <ext xmlns:x14="http://schemas.microsoft.com/office/spreadsheetml/2009/9/main" uri="{B025F937-C7B1-47D3-B67F-A62EFF666E3E}">
          <x14:id>{93482E6D-3560-49EC-A39A-777A798B4AA9}</x14:id>
        </ext>
      </extLst>
    </cfRule>
  </conditionalFormatting>
  <conditionalFormatting sqref="G73">
    <cfRule type="expression" dxfId="175" priority="21">
      <formula>AND(F73&lt;=90,(E73-C73&gt;=0.05))</formula>
    </cfRule>
    <cfRule type="expression" dxfId="174" priority="22">
      <formula>AND(F73&gt;=110,(C73-E73&gt;=0.05))</formula>
    </cfRule>
    <cfRule type="dataBar" priority="23">
      <dataBar showValue="0">
        <cfvo type="num" val="-100"/>
        <cfvo type="num" val="200"/>
        <color theme="6"/>
      </dataBar>
      <extLst>
        <ext xmlns:x14="http://schemas.microsoft.com/office/spreadsheetml/2009/9/main" uri="{B025F937-C7B1-47D3-B67F-A62EFF666E3E}">
          <x14:id>{33D1344B-A218-4B62-AD5D-4D45C9BBDE34}</x14:id>
        </ext>
      </extLst>
    </cfRule>
  </conditionalFormatting>
  <pageMargins left="0.70866141732283472" right="0.70866141732283472" top="0.74803149606299213" bottom="0.74803149606299213" header="0.31496062992125984" footer="0.31496062992125984"/>
  <pageSetup paperSize="9" scale="77" orientation="portrait" horizontalDpi="1200" verticalDpi="1200" r:id="rId1"/>
  <rowBreaks count="1" manualBreakCount="1">
    <brk id="54" max="6" man="1"/>
  </rowBreaks>
  <drawing r:id="rId2"/>
  <extLst>
    <ext xmlns:x14="http://schemas.microsoft.com/office/spreadsheetml/2009/9/main" uri="{78C0D931-6437-407d-A8EE-F0AAD7539E65}">
      <x14:conditionalFormattings>
        <x14:conditionalFormatting xmlns:xm="http://schemas.microsoft.com/office/excel/2006/main">
          <x14:cfRule type="dataBar" id="{AD637FA0-E332-41A2-AF11-9FB9DACDD862}">
            <x14:dataBar minLength="0" maxLength="100" gradient="0" direction="leftToRight">
              <x14:cfvo type="num">
                <xm:f>-100</xm:f>
              </x14:cfvo>
              <x14:cfvo type="num">
                <xm:f>200</xm:f>
              </x14:cfvo>
              <x14:negativeFillColor theme="5"/>
              <x14:axisColor theme="1"/>
            </x14:dataBar>
          </x14:cfRule>
          <xm:sqref>G14:G24</xm:sqref>
        </x14:conditionalFormatting>
        <x14:conditionalFormatting xmlns:xm="http://schemas.microsoft.com/office/excel/2006/main">
          <x14:cfRule type="dataBar" id="{CD286FA2-BBE7-4A59-9EA1-EBE9435E9775}">
            <x14:dataBar minLength="0" maxLength="100" gradient="0" direction="leftToRight">
              <x14:cfvo type="num">
                <xm:f>-100</xm:f>
              </x14:cfvo>
              <x14:cfvo type="num">
                <xm:f>200</xm:f>
              </x14:cfvo>
              <x14:negativeFillColor theme="5"/>
              <x14:axisColor theme="1"/>
            </x14:dataBar>
          </x14:cfRule>
          <xm:sqref>G31:G50</xm:sqref>
        </x14:conditionalFormatting>
        <x14:conditionalFormatting xmlns:xm="http://schemas.microsoft.com/office/excel/2006/main">
          <x14:cfRule type="dataBar" id="{9DD06A93-501C-44B1-B019-734372AF3021}">
            <x14:dataBar minLength="0" maxLength="100" gradient="0" direction="leftToRight">
              <x14:cfvo type="num">
                <xm:f>-100</xm:f>
              </x14:cfvo>
              <x14:cfvo type="num">
                <xm:f>200</xm:f>
              </x14:cfvo>
              <x14:negativeFillColor theme="7"/>
              <x14:axisColor theme="1"/>
            </x14:dataBar>
          </x14:cfRule>
          <xm:sqref>G51</xm:sqref>
        </x14:conditionalFormatting>
        <x14:conditionalFormatting xmlns:xm="http://schemas.microsoft.com/office/excel/2006/main">
          <x14:cfRule type="dataBar" id="{93482E6D-3560-49EC-A39A-777A798B4AA9}">
            <x14:dataBar minLength="0" maxLength="100" gradient="0" direction="leftToRight">
              <x14:cfvo type="num">
                <xm:f>-100</xm:f>
              </x14:cfvo>
              <x14:cfvo type="num">
                <xm:f>200</xm:f>
              </x14:cfvo>
              <x14:negativeFillColor theme="5"/>
              <x14:axisColor theme="1"/>
            </x14:dataBar>
          </x14:cfRule>
          <xm:sqref>G58:G72</xm:sqref>
        </x14:conditionalFormatting>
        <x14:conditionalFormatting xmlns:xm="http://schemas.microsoft.com/office/excel/2006/main">
          <x14:cfRule type="dataBar" id="{33D1344B-A218-4B62-AD5D-4D45C9BBDE34}">
            <x14:dataBar minLength="0" maxLength="100" gradient="0" direction="leftToRight">
              <x14:cfvo type="num">
                <xm:f>-100</xm:f>
              </x14:cfvo>
              <x14:cfvo type="num">
                <xm:f>200</xm:f>
              </x14:cfvo>
              <x14:negativeFillColor theme="7"/>
              <x14:axisColor theme="1"/>
            </x14:dataBar>
          </x14:cfRule>
          <xm:sqref>G73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33"/>
  <sheetViews>
    <sheetView showGridLines="0" zoomScaleNormal="100" workbookViewId="0"/>
  </sheetViews>
  <sheetFormatPr defaultColWidth="9.140625" defaultRowHeight="15" x14ac:dyDescent="0.3"/>
  <cols>
    <col min="1" max="1" width="40.7109375" style="13" customWidth="1"/>
    <col min="2" max="3" width="17.7109375" style="5" customWidth="1"/>
    <col min="4" max="5" width="17.7109375" style="2" customWidth="1"/>
    <col min="6" max="6" width="14.7109375" style="2" customWidth="1"/>
    <col min="7" max="7" width="14.7109375" style="3" customWidth="1"/>
    <col min="8" max="16384" width="9.140625" style="1"/>
  </cols>
  <sheetData>
    <row r="1" spans="1:7" x14ac:dyDescent="0.3">
      <c r="A1" s="22" t="s">
        <v>872</v>
      </c>
    </row>
    <row r="4" spans="1:7" ht="15" customHeight="1" x14ac:dyDescent="0.3">
      <c r="A4" s="277" t="s">
        <v>464</v>
      </c>
      <c r="B4" s="277"/>
      <c r="C4" s="277"/>
      <c r="D4" s="277"/>
      <c r="E4" s="277"/>
      <c r="F4" s="277"/>
      <c r="G4" s="277"/>
    </row>
    <row r="5" spans="1:7" ht="15" customHeight="1" x14ac:dyDescent="0.3">
      <c r="A5" s="277"/>
      <c r="B5" s="277"/>
      <c r="C5" s="277"/>
      <c r="D5" s="277"/>
      <c r="E5" s="277"/>
      <c r="F5" s="277"/>
      <c r="G5" s="277"/>
    </row>
    <row r="6" spans="1:7" s="2" customFormat="1" x14ac:dyDescent="0.3">
      <c r="A6" s="248" t="s">
        <v>873</v>
      </c>
      <c r="B6" s="249" t="s">
        <v>874</v>
      </c>
      <c r="C6" s="249"/>
      <c r="D6" s="244"/>
      <c r="E6" s="244"/>
      <c r="F6" s="244"/>
      <c r="G6" s="250"/>
    </row>
    <row r="7" spans="1:7" s="2" customFormat="1" x14ac:dyDescent="0.3">
      <c r="A7" s="248" t="s">
        <v>625</v>
      </c>
      <c r="B7" s="249" t="s">
        <v>888</v>
      </c>
      <c r="C7" s="249"/>
      <c r="D7" s="244"/>
      <c r="E7" s="244"/>
      <c r="F7" s="244"/>
      <c r="G7" s="250"/>
    </row>
    <row r="8" spans="1:7" s="2" customFormat="1" x14ac:dyDescent="0.3">
      <c r="A8" s="248" t="s">
        <v>626</v>
      </c>
      <c r="B8" s="249" t="s">
        <v>889</v>
      </c>
      <c r="C8" s="249"/>
      <c r="D8" s="244"/>
      <c r="E8" s="244"/>
      <c r="F8" s="244"/>
      <c r="G8" s="250"/>
    </row>
    <row r="10" spans="1:7" ht="15" customHeight="1" x14ac:dyDescent="0.3">
      <c r="A10" s="17" t="s">
        <v>226</v>
      </c>
      <c r="B10" s="115"/>
      <c r="C10" s="211"/>
      <c r="D10" s="115"/>
      <c r="E10" s="115"/>
      <c r="F10" s="115"/>
    </row>
    <row r="11" spans="1:7" s="141" customFormat="1" ht="39.950000000000003" customHeight="1" x14ac:dyDescent="0.25">
      <c r="A11" s="252" t="s">
        <v>137</v>
      </c>
      <c r="B11" s="230" t="s">
        <v>888</v>
      </c>
      <c r="C11" s="246" t="s">
        <v>888</v>
      </c>
      <c r="D11" s="230" t="s">
        <v>889</v>
      </c>
      <c r="E11" s="231" t="s">
        <v>889</v>
      </c>
      <c r="F11" s="238" t="s">
        <v>1</v>
      </c>
      <c r="G11" s="239" t="s">
        <v>1</v>
      </c>
    </row>
    <row r="12" spans="1:7" s="141" customFormat="1" ht="15" customHeight="1" x14ac:dyDescent="0.25">
      <c r="A12" s="242" t="s">
        <v>871</v>
      </c>
      <c r="B12" s="37" t="s">
        <v>74</v>
      </c>
      <c r="C12" s="38" t="s">
        <v>75</v>
      </c>
      <c r="D12" s="36" t="s">
        <v>74</v>
      </c>
      <c r="E12" s="38" t="s">
        <v>75</v>
      </c>
      <c r="F12" s="240" t="s">
        <v>869</v>
      </c>
      <c r="G12" s="241" t="s">
        <v>870</v>
      </c>
    </row>
    <row r="13" spans="1:7" x14ac:dyDescent="0.3">
      <c r="A13" s="69" t="s">
        <v>182</v>
      </c>
      <c r="B13" s="70">
        <v>309647</v>
      </c>
      <c r="C13" s="50">
        <v>1</v>
      </c>
      <c r="D13" s="52">
        <v>1300647</v>
      </c>
      <c r="E13" s="50">
        <v>1</v>
      </c>
      <c r="F13" s="235" t="s">
        <v>136</v>
      </c>
      <c r="G13" s="236" t="s">
        <v>136</v>
      </c>
    </row>
    <row r="14" spans="1:7" ht="15" customHeight="1" x14ac:dyDescent="0.3">
      <c r="A14" s="69" t="s">
        <v>531</v>
      </c>
      <c r="B14" s="70">
        <v>367542</v>
      </c>
      <c r="C14" s="50">
        <v>1</v>
      </c>
      <c r="D14" s="52">
        <v>1562331</v>
      </c>
      <c r="E14" s="50">
        <v>1</v>
      </c>
      <c r="F14" s="235" t="s">
        <v>136</v>
      </c>
      <c r="G14" s="236" t="s">
        <v>136</v>
      </c>
    </row>
    <row r="15" spans="1:7" x14ac:dyDescent="0.3">
      <c r="A15" s="71" t="s">
        <v>184</v>
      </c>
      <c r="B15" s="72">
        <v>148766</v>
      </c>
      <c r="C15" s="55">
        <v>1</v>
      </c>
      <c r="D15" s="54">
        <v>648252</v>
      </c>
      <c r="E15" s="55">
        <v>1</v>
      </c>
      <c r="F15" s="233" t="s">
        <v>136</v>
      </c>
      <c r="G15" s="234" t="s">
        <v>136</v>
      </c>
    </row>
    <row r="16" spans="1:7" ht="15" customHeight="1" x14ac:dyDescent="0.3">
      <c r="A16" s="11"/>
      <c r="B16" s="11"/>
      <c r="C16" s="212"/>
      <c r="D16" s="11"/>
      <c r="E16" s="11"/>
      <c r="F16" s="11"/>
    </row>
    <row r="17" spans="1:8" ht="15" customHeight="1" x14ac:dyDescent="0.3">
      <c r="A17" s="11"/>
      <c r="B17" s="11"/>
      <c r="C17" s="212"/>
      <c r="D17" s="11"/>
      <c r="E17" s="11"/>
      <c r="F17" s="11"/>
    </row>
    <row r="18" spans="1:8" ht="15" customHeight="1" x14ac:dyDescent="0.3">
      <c r="A18" s="17" t="s">
        <v>461</v>
      </c>
      <c r="B18" s="115"/>
      <c r="C18" s="211"/>
      <c r="D18" s="115"/>
      <c r="E18" s="115"/>
      <c r="F18" s="115"/>
    </row>
    <row r="19" spans="1:8" ht="15" customHeight="1" x14ac:dyDescent="0.3">
      <c r="A19" s="9" t="s">
        <v>97</v>
      </c>
      <c r="B19" s="9"/>
      <c r="C19" s="213"/>
      <c r="D19" s="9"/>
      <c r="E19" s="9"/>
      <c r="F19" s="9"/>
    </row>
    <row r="20" spans="1:8" ht="39.950000000000003" customHeight="1" x14ac:dyDescent="0.3">
      <c r="A20" s="252" t="s">
        <v>98</v>
      </c>
      <c r="B20" s="230" t="s">
        <v>888</v>
      </c>
      <c r="C20" s="246" t="s">
        <v>888</v>
      </c>
      <c r="D20" s="230" t="s">
        <v>889</v>
      </c>
      <c r="E20" s="231" t="s">
        <v>889</v>
      </c>
      <c r="F20" s="238" t="s">
        <v>1</v>
      </c>
      <c r="G20" s="239" t="s">
        <v>1</v>
      </c>
    </row>
    <row r="21" spans="1:8" x14ac:dyDescent="0.3">
      <c r="A21" s="242" t="s">
        <v>871</v>
      </c>
      <c r="B21" s="37" t="s">
        <v>74</v>
      </c>
      <c r="C21" s="38" t="s">
        <v>75</v>
      </c>
      <c r="D21" s="36" t="s">
        <v>74</v>
      </c>
      <c r="E21" s="38" t="s">
        <v>75</v>
      </c>
      <c r="F21" s="240" t="s">
        <v>869</v>
      </c>
      <c r="G21" s="241" t="s">
        <v>870</v>
      </c>
    </row>
    <row r="22" spans="1:8" ht="15" customHeight="1" x14ac:dyDescent="0.3">
      <c r="A22" s="73" t="s">
        <v>5</v>
      </c>
      <c r="B22" s="70">
        <v>19535</v>
      </c>
      <c r="C22" s="50">
        <v>5.3150388254947736E-2</v>
      </c>
      <c r="D22" s="52">
        <v>82871</v>
      </c>
      <c r="E22" s="50">
        <v>5.3043177150040546E-2</v>
      </c>
      <c r="F22" s="51">
        <v>100.20212044350949</v>
      </c>
      <c r="G22" s="47">
        <v>0.20212044350948588</v>
      </c>
    </row>
    <row r="23" spans="1:8" x14ac:dyDescent="0.3">
      <c r="A23" s="73" t="s">
        <v>6</v>
      </c>
      <c r="B23" s="70">
        <v>19643</v>
      </c>
      <c r="C23" s="44">
        <v>5.3444232223800271E-2</v>
      </c>
      <c r="D23" s="52">
        <v>89308</v>
      </c>
      <c r="E23" s="44">
        <v>5.7163302782828988E-2</v>
      </c>
      <c r="F23" s="51">
        <v>93.493954376362822</v>
      </c>
      <c r="G23" s="47">
        <v>-6.5060456236371778</v>
      </c>
    </row>
    <row r="24" spans="1:8" x14ac:dyDescent="0.3">
      <c r="A24" s="73" t="s">
        <v>7</v>
      </c>
      <c r="B24" s="70">
        <v>18717</v>
      </c>
      <c r="C24" s="44">
        <v>5.0924792268638684E-2</v>
      </c>
      <c r="D24" s="52">
        <v>89505</v>
      </c>
      <c r="E24" s="44">
        <v>5.7289396421116905E-2</v>
      </c>
      <c r="F24" s="51">
        <v>88.890432523160214</v>
      </c>
      <c r="G24" s="47">
        <v>-11.109567476839786</v>
      </c>
      <c r="H24" s="132"/>
    </row>
    <row r="25" spans="1:8" x14ac:dyDescent="0.3">
      <c r="A25" s="73" t="s">
        <v>185</v>
      </c>
      <c r="B25" s="70">
        <v>25008</v>
      </c>
      <c r="C25" s="44">
        <v>6.8041203454299107E-2</v>
      </c>
      <c r="D25" s="52">
        <v>92194</v>
      </c>
      <c r="E25" s="44">
        <v>5.9010542580285485E-2</v>
      </c>
      <c r="F25" s="51">
        <v>115.30347032774213</v>
      </c>
      <c r="G25" s="47">
        <v>15.303470327742133</v>
      </c>
      <c r="H25" s="132"/>
    </row>
    <row r="26" spans="1:8" x14ac:dyDescent="0.3">
      <c r="A26" s="75" t="s">
        <v>8</v>
      </c>
      <c r="B26" s="70">
        <v>40651</v>
      </c>
      <c r="C26" s="44">
        <v>0.11060232572059792</v>
      </c>
      <c r="D26" s="52">
        <v>113295</v>
      </c>
      <c r="E26" s="44">
        <v>7.2516643400150155E-2</v>
      </c>
      <c r="F26" s="51">
        <v>152.51991892438986</v>
      </c>
      <c r="G26" s="47">
        <v>52.519918924389856</v>
      </c>
    </row>
    <row r="27" spans="1:8" x14ac:dyDescent="0.3">
      <c r="A27" s="75" t="s">
        <v>9</v>
      </c>
      <c r="B27" s="70">
        <v>36882</v>
      </c>
      <c r="C27" s="44">
        <v>0.10034771536314217</v>
      </c>
      <c r="D27" s="52">
        <v>110060</v>
      </c>
      <c r="E27" s="44">
        <v>7.0446019441462795E-2</v>
      </c>
      <c r="F27" s="51">
        <v>142.4462533990671</v>
      </c>
      <c r="G27" s="47">
        <v>42.446253399067103</v>
      </c>
    </row>
    <row r="28" spans="1:8" x14ac:dyDescent="0.3">
      <c r="A28" s="75" t="s">
        <v>10</v>
      </c>
      <c r="B28" s="70">
        <v>35350</v>
      </c>
      <c r="C28" s="44">
        <v>9.617948424941912E-2</v>
      </c>
      <c r="D28" s="52">
        <v>114383</v>
      </c>
      <c r="E28" s="44">
        <v>7.3213038722268198E-2</v>
      </c>
      <c r="F28" s="51">
        <v>131.3693379321046</v>
      </c>
      <c r="G28" s="47">
        <v>31.3693379321046</v>
      </c>
    </row>
    <row r="29" spans="1:8" x14ac:dyDescent="0.3">
      <c r="A29" s="75" t="s">
        <v>11</v>
      </c>
      <c r="B29" s="70">
        <v>29323</v>
      </c>
      <c r="C29" s="44">
        <v>7.9781358320953802E-2</v>
      </c>
      <c r="D29" s="52">
        <v>105583</v>
      </c>
      <c r="E29" s="44">
        <v>6.7580429499254635E-2</v>
      </c>
      <c r="F29" s="51">
        <v>118.05393797006533</v>
      </c>
      <c r="G29" s="47">
        <v>18.053937970065334</v>
      </c>
    </row>
    <row r="30" spans="1:8" x14ac:dyDescent="0.3">
      <c r="A30" s="75" t="s">
        <v>12</v>
      </c>
      <c r="B30" s="70">
        <v>23937</v>
      </c>
      <c r="C30" s="44">
        <v>6.5127250763178088E-2</v>
      </c>
      <c r="D30" s="52">
        <v>96382</v>
      </c>
      <c r="E30" s="44">
        <v>6.1691152515056032E-2</v>
      </c>
      <c r="F30" s="51">
        <v>105.56983960914567</v>
      </c>
      <c r="G30" s="47">
        <v>5.5698396091456743</v>
      </c>
    </row>
    <row r="31" spans="1:8" x14ac:dyDescent="0.3">
      <c r="A31" s="75" t="s">
        <v>13</v>
      </c>
      <c r="B31" s="70">
        <v>20526</v>
      </c>
      <c r="C31" s="44">
        <v>5.5846678746918718E-2</v>
      </c>
      <c r="D31" s="52">
        <v>95818</v>
      </c>
      <c r="E31" s="44">
        <v>6.1330153469399247E-2</v>
      </c>
      <c r="F31" s="65">
        <v>91.059088535924644</v>
      </c>
      <c r="G31" s="94">
        <v>-8.9409114640753558</v>
      </c>
    </row>
    <row r="32" spans="1:8" x14ac:dyDescent="0.3">
      <c r="A32" s="75" t="s">
        <v>14</v>
      </c>
      <c r="B32" s="70">
        <v>19853</v>
      </c>
      <c r="C32" s="44">
        <v>5.4015595496569098E-2</v>
      </c>
      <c r="D32" s="52">
        <v>103216</v>
      </c>
      <c r="E32" s="44">
        <v>6.6065385632109966E-2</v>
      </c>
      <c r="F32" s="51">
        <v>81.760811625862559</v>
      </c>
      <c r="G32" s="47">
        <v>-18.239188374137441</v>
      </c>
    </row>
    <row r="33" spans="1:7" x14ac:dyDescent="0.3">
      <c r="A33" s="75" t="s">
        <v>15</v>
      </c>
      <c r="B33" s="70">
        <v>18688</v>
      </c>
      <c r="C33" s="44">
        <v>5.0845889721446803E-2</v>
      </c>
      <c r="D33" s="52">
        <v>101930</v>
      </c>
      <c r="E33" s="44">
        <v>6.5242256602474125E-2</v>
      </c>
      <c r="F33" s="51">
        <v>77.933983846166683</v>
      </c>
      <c r="G33" s="47">
        <v>-22.066016153833317</v>
      </c>
    </row>
    <row r="34" spans="1:7" x14ac:dyDescent="0.3">
      <c r="A34" s="75" t="s">
        <v>16</v>
      </c>
      <c r="B34" s="70">
        <v>15226</v>
      </c>
      <c r="C34" s="44">
        <v>4.1426558053229291E-2</v>
      </c>
      <c r="D34" s="52">
        <v>85127</v>
      </c>
      <c r="E34" s="44">
        <v>5.4487173332667664E-2</v>
      </c>
      <c r="F34" s="51">
        <v>76.029926897294359</v>
      </c>
      <c r="G34" s="47">
        <v>-23.970073102705641</v>
      </c>
    </row>
    <row r="35" spans="1:7" x14ac:dyDescent="0.3">
      <c r="A35" s="75" t="s">
        <v>17</v>
      </c>
      <c r="B35" s="70">
        <v>12499</v>
      </c>
      <c r="C35" s="44">
        <v>3.4006997839702673E-2</v>
      </c>
      <c r="D35" s="52">
        <v>72982</v>
      </c>
      <c r="E35" s="44">
        <v>4.6713532535679059E-2</v>
      </c>
      <c r="F35" s="51">
        <v>72.79902844797418</v>
      </c>
      <c r="G35" s="47">
        <v>-27.20097155202582</v>
      </c>
    </row>
    <row r="36" spans="1:7" x14ac:dyDescent="0.3">
      <c r="A36" s="75" t="s">
        <v>18</v>
      </c>
      <c r="B36" s="70">
        <v>11557</v>
      </c>
      <c r="C36" s="44">
        <v>3.1444025444711081E-2</v>
      </c>
      <c r="D36" s="52">
        <v>74804</v>
      </c>
      <c r="E36" s="44">
        <v>4.7879738672534825E-2</v>
      </c>
      <c r="F36" s="51">
        <v>65.672926203225629</v>
      </c>
      <c r="G36" s="47">
        <v>-34.327073796774371</v>
      </c>
    </row>
    <row r="37" spans="1:7" x14ac:dyDescent="0.3">
      <c r="A37" s="75" t="s">
        <v>19</v>
      </c>
      <c r="B37" s="70">
        <v>8121</v>
      </c>
      <c r="C37" s="44">
        <v>2.2095433991217332E-2</v>
      </c>
      <c r="D37" s="52">
        <v>56293</v>
      </c>
      <c r="E37" s="44">
        <v>3.6031417158079816E-2</v>
      </c>
      <c r="F37" s="51">
        <v>61.322689291621636</v>
      </c>
      <c r="G37" s="47">
        <v>-38.677310708378364</v>
      </c>
    </row>
    <row r="38" spans="1:7" x14ac:dyDescent="0.3">
      <c r="A38" s="75" t="s">
        <v>20</v>
      </c>
      <c r="B38" s="70">
        <v>5915</v>
      </c>
      <c r="C38" s="44">
        <v>1.6093398849655279E-2</v>
      </c>
      <c r="D38" s="52">
        <v>39354</v>
      </c>
      <c r="E38" s="44">
        <v>2.51892844730086E-2</v>
      </c>
      <c r="F38" s="51">
        <v>63.889861051432597</v>
      </c>
      <c r="G38" s="47">
        <v>-36.110138948567403</v>
      </c>
    </row>
    <row r="39" spans="1:7" x14ac:dyDescent="0.3">
      <c r="A39" s="76" t="s">
        <v>138</v>
      </c>
      <c r="B39" s="72">
        <v>6111</v>
      </c>
      <c r="C39" s="55">
        <v>1.6626671237572849E-2</v>
      </c>
      <c r="D39" s="57">
        <v>39226</v>
      </c>
      <c r="E39" s="55">
        <v>2.5107355611582949E-2</v>
      </c>
      <c r="F39" s="51">
        <v>66.22231148031517</v>
      </c>
      <c r="G39" s="47">
        <v>-33.77768851968483</v>
      </c>
    </row>
    <row r="40" spans="1:7" x14ac:dyDescent="0.3">
      <c r="A40" s="64" t="s">
        <v>2</v>
      </c>
      <c r="B40" s="229">
        <v>367542</v>
      </c>
      <c r="C40" s="228"/>
      <c r="D40" s="227">
        <v>1562331</v>
      </c>
      <c r="E40" s="228"/>
      <c r="F40" s="60"/>
      <c r="G40" s="48"/>
    </row>
    <row r="41" spans="1:7" x14ac:dyDescent="0.3">
      <c r="A41" s="11"/>
      <c r="B41" s="11"/>
      <c r="C41" s="212"/>
      <c r="D41" s="11"/>
      <c r="E41" s="11"/>
      <c r="F41" s="11"/>
    </row>
    <row r="42" spans="1:7" ht="15" customHeight="1" x14ac:dyDescent="0.3">
      <c r="A42" s="278" t="s">
        <v>139</v>
      </c>
      <c r="B42" s="278"/>
      <c r="C42" s="278"/>
      <c r="D42" s="278"/>
      <c r="E42" s="278"/>
      <c r="F42" s="278"/>
    </row>
    <row r="43" spans="1:7" ht="39.950000000000003" customHeight="1" x14ac:dyDescent="0.3">
      <c r="A43" s="252" t="s">
        <v>140</v>
      </c>
      <c r="B43" s="230" t="s">
        <v>888</v>
      </c>
      <c r="C43" s="246" t="s">
        <v>888</v>
      </c>
      <c r="D43" s="230" t="s">
        <v>889</v>
      </c>
      <c r="E43" s="231" t="s">
        <v>889</v>
      </c>
      <c r="F43" s="238" t="s">
        <v>1</v>
      </c>
      <c r="G43" s="239" t="s">
        <v>1</v>
      </c>
    </row>
    <row r="44" spans="1:7" ht="15" customHeight="1" x14ac:dyDescent="0.3">
      <c r="A44" s="242" t="s">
        <v>871</v>
      </c>
      <c r="B44" s="37" t="s">
        <v>74</v>
      </c>
      <c r="C44" s="38" t="s">
        <v>75</v>
      </c>
      <c r="D44" s="36" t="s">
        <v>74</v>
      </c>
      <c r="E44" s="38" t="s">
        <v>75</v>
      </c>
      <c r="F44" s="240" t="s">
        <v>869</v>
      </c>
      <c r="G44" s="241" t="s">
        <v>870</v>
      </c>
    </row>
    <row r="45" spans="1:7" ht="15" customHeight="1" x14ac:dyDescent="0.3">
      <c r="A45" s="75" t="s">
        <v>186</v>
      </c>
      <c r="B45" s="70">
        <v>23606</v>
      </c>
      <c r="C45" s="50">
        <v>6.420990213198853E-2</v>
      </c>
      <c r="D45" s="52">
        <v>67386</v>
      </c>
      <c r="E45" s="50">
        <v>4.3142336546846051E-2</v>
      </c>
      <c r="F45" s="51">
        <v>148.83269491504311</v>
      </c>
      <c r="G45" s="47">
        <v>48.832694915043106</v>
      </c>
    </row>
    <row r="46" spans="1:7" ht="30" x14ac:dyDescent="0.3">
      <c r="A46" s="75" t="s">
        <v>187</v>
      </c>
      <c r="B46" s="70">
        <v>21745</v>
      </c>
      <c r="C46" s="44">
        <v>5.9147857403206418E-2</v>
      </c>
      <c r="D46" s="52">
        <v>40600</v>
      </c>
      <c r="E46" s="44">
        <v>2.5993216154719816E-2</v>
      </c>
      <c r="F46" s="51">
        <v>227.55113123031688</v>
      </c>
      <c r="G46" s="47">
        <v>127.55113123031688</v>
      </c>
    </row>
    <row r="47" spans="1:7" ht="15" customHeight="1" x14ac:dyDescent="0.3">
      <c r="A47" s="75" t="s">
        <v>188</v>
      </c>
      <c r="B47" s="70">
        <v>16672</v>
      </c>
      <c r="C47" s="44">
        <v>4.5348957398310297E-2</v>
      </c>
      <c r="D47" s="52">
        <v>45668</v>
      </c>
      <c r="E47" s="44">
        <v>2.9237886585067603E-2</v>
      </c>
      <c r="F47" s="51">
        <v>155.1034041614723</v>
      </c>
      <c r="G47" s="47">
        <v>55.103404161472298</v>
      </c>
    </row>
    <row r="48" spans="1:7" ht="15" customHeight="1" x14ac:dyDescent="0.3">
      <c r="A48" s="75" t="s">
        <v>33</v>
      </c>
      <c r="B48" s="70">
        <v>298492</v>
      </c>
      <c r="C48" s="44">
        <v>0.81191824566557325</v>
      </c>
      <c r="D48" s="52">
        <v>1390151</v>
      </c>
      <c r="E48" s="44">
        <v>0.89001220272659876</v>
      </c>
      <c r="F48" s="51">
        <v>91.225518389323128</v>
      </c>
      <c r="G48" s="47">
        <v>-8.7744816106768724</v>
      </c>
    </row>
    <row r="49" spans="1:7" ht="15" customHeight="1" x14ac:dyDescent="0.3">
      <c r="A49" s="76" t="s">
        <v>189</v>
      </c>
      <c r="B49" s="72">
        <v>7123</v>
      </c>
      <c r="C49" s="55">
        <v>1.9375037400921558E-2</v>
      </c>
      <c r="D49" s="57">
        <v>18141</v>
      </c>
      <c r="E49" s="55">
        <v>1.1614357986767788E-2</v>
      </c>
      <c r="F49" s="51">
        <v>166.81970215655048</v>
      </c>
      <c r="G49" s="47">
        <v>66.819702156550477</v>
      </c>
    </row>
    <row r="50" spans="1:7" x14ac:dyDescent="0.3">
      <c r="A50" s="64" t="s">
        <v>2</v>
      </c>
      <c r="B50" s="229">
        <v>367638</v>
      </c>
      <c r="C50" s="228"/>
      <c r="D50" s="227">
        <v>1561946</v>
      </c>
      <c r="E50" s="228"/>
      <c r="F50" s="60"/>
      <c r="G50" s="48"/>
    </row>
    <row r="51" spans="1:7" ht="15" customHeight="1" x14ac:dyDescent="0.3">
      <c r="A51" s="11"/>
      <c r="B51" s="11"/>
      <c r="C51" s="212"/>
      <c r="D51" s="11"/>
      <c r="E51" s="11"/>
      <c r="F51" s="11"/>
      <c r="G51" s="58"/>
    </row>
    <row r="52" spans="1:7" ht="39.950000000000003" customHeight="1" x14ac:dyDescent="0.3">
      <c r="A52" s="252" t="s">
        <v>227</v>
      </c>
      <c r="B52" s="230" t="s">
        <v>888</v>
      </c>
      <c r="C52" s="246" t="s">
        <v>888</v>
      </c>
      <c r="D52" s="230" t="s">
        <v>889</v>
      </c>
      <c r="E52" s="231" t="s">
        <v>889</v>
      </c>
      <c r="F52" s="238" t="s">
        <v>1</v>
      </c>
      <c r="G52" s="239" t="s">
        <v>1</v>
      </c>
    </row>
    <row r="53" spans="1:7" ht="15" customHeight="1" x14ac:dyDescent="0.3">
      <c r="A53" s="242" t="s">
        <v>871</v>
      </c>
      <c r="B53" s="37" t="s">
        <v>74</v>
      </c>
      <c r="C53" s="38" t="s">
        <v>75</v>
      </c>
      <c r="D53" s="36" t="s">
        <v>74</v>
      </c>
      <c r="E53" s="38" t="s">
        <v>75</v>
      </c>
      <c r="F53" s="240" t="s">
        <v>869</v>
      </c>
      <c r="G53" s="241" t="s">
        <v>870</v>
      </c>
    </row>
    <row r="54" spans="1:7" ht="15" customHeight="1" x14ac:dyDescent="0.3">
      <c r="A54" s="75" t="s">
        <v>190</v>
      </c>
      <c r="B54" s="70">
        <v>1707</v>
      </c>
      <c r="C54" s="50">
        <v>4.6431544073245968E-3</v>
      </c>
      <c r="D54" s="52">
        <v>7086</v>
      </c>
      <c r="E54" s="50">
        <v>4.536648514097158E-3</v>
      </c>
      <c r="F54" s="51">
        <v>102.34767787049147</v>
      </c>
      <c r="G54" s="47">
        <v>2.3476778704914665</v>
      </c>
    </row>
    <row r="55" spans="1:7" ht="15" customHeight="1" x14ac:dyDescent="0.3">
      <c r="A55" s="75" t="s">
        <v>191</v>
      </c>
      <c r="B55" s="70">
        <v>4805</v>
      </c>
      <c r="C55" s="44">
        <v>1.3069922042879137E-2</v>
      </c>
      <c r="D55" s="52">
        <v>11792</v>
      </c>
      <c r="E55" s="44">
        <v>7.549556770848672E-3</v>
      </c>
      <c r="F55" s="51">
        <v>173.12171349378303</v>
      </c>
      <c r="G55" s="47">
        <v>73.121713493783034</v>
      </c>
    </row>
    <row r="56" spans="1:7" ht="15" customHeight="1" x14ac:dyDescent="0.3">
      <c r="A56" s="75" t="s">
        <v>192</v>
      </c>
      <c r="B56" s="70">
        <v>5736</v>
      </c>
      <c r="C56" s="44">
        <v>1.5602304440781421E-2</v>
      </c>
      <c r="D56" s="52">
        <v>18770</v>
      </c>
      <c r="E56" s="44">
        <v>1.2017060769066281E-2</v>
      </c>
      <c r="F56" s="51">
        <v>129.83461380959392</v>
      </c>
      <c r="G56" s="47">
        <v>29.834613809593918</v>
      </c>
    </row>
    <row r="57" spans="1:7" ht="15" customHeight="1" x14ac:dyDescent="0.3">
      <c r="A57" s="75" t="s">
        <v>193</v>
      </c>
      <c r="B57" s="70">
        <v>7088</v>
      </c>
      <c r="C57" s="44">
        <v>1.9279835055135759E-2</v>
      </c>
      <c r="D57" s="52">
        <v>15579</v>
      </c>
      <c r="E57" s="44">
        <v>9.9740964156251246E-3</v>
      </c>
      <c r="F57" s="51">
        <v>193.29906441382039</v>
      </c>
      <c r="G57" s="47">
        <v>93.299064413820389</v>
      </c>
    </row>
    <row r="58" spans="1:7" ht="15" customHeight="1" x14ac:dyDescent="0.3">
      <c r="A58" s="75" t="s">
        <v>194</v>
      </c>
      <c r="B58" s="70">
        <v>4270</v>
      </c>
      <c r="C58" s="44">
        <v>1.1614686185867619E-2</v>
      </c>
      <c r="D58" s="52">
        <v>14159</v>
      </c>
      <c r="E58" s="44">
        <v>9.0649740772088157E-3</v>
      </c>
      <c r="F58" s="51">
        <v>128.12707556516125</v>
      </c>
      <c r="G58" s="47">
        <v>28.127075565161249</v>
      </c>
    </row>
    <row r="59" spans="1:7" ht="15" customHeight="1" x14ac:dyDescent="0.3">
      <c r="A59" s="75" t="s">
        <v>195</v>
      </c>
      <c r="B59" s="70">
        <v>14387</v>
      </c>
      <c r="C59" s="44">
        <v>3.913360425200877E-2</v>
      </c>
      <c r="D59" s="52">
        <v>26004</v>
      </c>
      <c r="E59" s="44">
        <v>1.6648462878998377E-2</v>
      </c>
      <c r="F59" s="51">
        <v>235.05836266346751</v>
      </c>
      <c r="G59" s="47">
        <v>135.05836266346751</v>
      </c>
    </row>
    <row r="60" spans="1:7" ht="15" customHeight="1" x14ac:dyDescent="0.3">
      <c r="A60" s="75" t="s">
        <v>196</v>
      </c>
      <c r="B60" s="70">
        <v>5155</v>
      </c>
      <c r="C60" s="44">
        <v>1.4021945500737138E-2</v>
      </c>
      <c r="D60" s="52">
        <v>9991</v>
      </c>
      <c r="E60" s="44">
        <v>6.3965079458572832E-3</v>
      </c>
      <c r="F60" s="51">
        <v>219.21250812825912</v>
      </c>
      <c r="G60" s="47">
        <v>119.21250812825912</v>
      </c>
    </row>
    <row r="61" spans="1:7" ht="15" customHeight="1" x14ac:dyDescent="0.3">
      <c r="A61" s="75" t="s">
        <v>197</v>
      </c>
      <c r="B61" s="70">
        <v>2203</v>
      </c>
      <c r="C61" s="44">
        <v>5.9923076504605072E-3</v>
      </c>
      <c r="D61" s="52">
        <v>4605</v>
      </c>
      <c r="E61" s="44">
        <v>2.9482453298641568E-3</v>
      </c>
      <c r="F61" s="51">
        <v>203.24996667548723</v>
      </c>
      <c r="G61" s="47">
        <v>103.24996667548723</v>
      </c>
    </row>
    <row r="62" spans="1:7" ht="15" customHeight="1" x14ac:dyDescent="0.3">
      <c r="A62" s="75" t="s">
        <v>525</v>
      </c>
      <c r="B62" s="70">
        <v>4560</v>
      </c>
      <c r="C62" s="44">
        <v>1.2403505622378535E-2</v>
      </c>
      <c r="D62" s="52">
        <v>12818</v>
      </c>
      <c r="E62" s="44">
        <v>8.2064296717043999E-3</v>
      </c>
      <c r="F62" s="51">
        <v>151.14375091942316</v>
      </c>
      <c r="G62" s="47">
        <v>51.143750919423155</v>
      </c>
    </row>
    <row r="63" spans="1:7" ht="15" customHeight="1" x14ac:dyDescent="0.3">
      <c r="A63" s="75" t="s">
        <v>198</v>
      </c>
      <c r="B63" s="70">
        <v>2082</v>
      </c>
      <c r="C63" s="44">
        <v>5.6631795407438837E-3</v>
      </c>
      <c r="D63" s="52">
        <v>5853</v>
      </c>
      <c r="E63" s="44">
        <v>3.7472486244722928E-3</v>
      </c>
      <c r="F63" s="65">
        <v>151.1290044583418</v>
      </c>
      <c r="G63" s="94">
        <v>51.129004458341797</v>
      </c>
    </row>
    <row r="64" spans="1:7" ht="15" customHeight="1" x14ac:dyDescent="0.3">
      <c r="A64" s="75" t="s">
        <v>199</v>
      </c>
      <c r="B64" s="70">
        <v>5773</v>
      </c>
      <c r="C64" s="44">
        <v>1.5702946920612124E-2</v>
      </c>
      <c r="D64" s="52">
        <v>15764</v>
      </c>
      <c r="E64" s="44">
        <v>1.0092538410418798E-2</v>
      </c>
      <c r="F64" s="51">
        <v>155.58966715847771</v>
      </c>
      <c r="G64" s="47">
        <v>55.58966715847771</v>
      </c>
    </row>
    <row r="65" spans="1:7" ht="15" customHeight="1" x14ac:dyDescent="0.3">
      <c r="A65" s="75" t="s">
        <v>200</v>
      </c>
      <c r="B65" s="70">
        <v>4257</v>
      </c>
      <c r="C65" s="44">
        <v>1.1579325314575751E-2</v>
      </c>
      <c r="D65" s="52">
        <v>11233</v>
      </c>
      <c r="E65" s="44">
        <v>7.1916698784721114E-3</v>
      </c>
      <c r="F65" s="51">
        <v>161.01024532894448</v>
      </c>
      <c r="G65" s="47">
        <v>61.010245328944478</v>
      </c>
    </row>
    <row r="66" spans="1:7" ht="30" x14ac:dyDescent="0.3">
      <c r="A66" s="75" t="s">
        <v>532</v>
      </c>
      <c r="B66" s="70">
        <v>264132</v>
      </c>
      <c r="C66" s="44">
        <v>0.71845674277414195</v>
      </c>
      <c r="D66" s="52">
        <v>1288038</v>
      </c>
      <c r="E66" s="44">
        <v>0.8246367031894829</v>
      </c>
      <c r="F66" s="51">
        <v>87.124031709398324</v>
      </c>
      <c r="G66" s="47">
        <v>-12.875968290601676</v>
      </c>
    </row>
    <row r="67" spans="1:7" ht="15" customHeight="1" x14ac:dyDescent="0.3">
      <c r="A67" s="75" t="s">
        <v>201</v>
      </c>
      <c r="B67" s="70">
        <v>3593</v>
      </c>
      <c r="C67" s="44">
        <v>9.7732008116679994E-3</v>
      </c>
      <c r="D67" s="52">
        <v>10080</v>
      </c>
      <c r="E67" s="44">
        <v>6.4534881487580235E-3</v>
      </c>
      <c r="F67" s="51">
        <v>151.44059439465858</v>
      </c>
      <c r="G67" s="47">
        <v>51.440594394658575</v>
      </c>
    </row>
    <row r="68" spans="1:7" ht="15" customHeight="1" x14ac:dyDescent="0.3">
      <c r="A68" s="75" t="s">
        <v>202</v>
      </c>
      <c r="B68" s="70">
        <v>246</v>
      </c>
      <c r="C68" s="44">
        <v>6.6913648752305261E-4</v>
      </c>
      <c r="D68" s="52">
        <v>1423</v>
      </c>
      <c r="E68" s="44">
        <v>9.1104301941296304E-4</v>
      </c>
      <c r="F68" s="51">
        <v>73.44729867467899</v>
      </c>
      <c r="G68" s="47">
        <v>-26.55270132532101</v>
      </c>
    </row>
    <row r="69" spans="1:7" ht="15" customHeight="1" x14ac:dyDescent="0.3">
      <c r="A69" s="75" t="s">
        <v>203</v>
      </c>
      <c r="B69" s="70">
        <v>805</v>
      </c>
      <c r="C69" s="44">
        <v>2.1896539530734038E-3</v>
      </c>
      <c r="D69" s="52">
        <v>2268</v>
      </c>
      <c r="E69" s="44">
        <v>1.4520348334705554E-3</v>
      </c>
      <c r="F69" s="51">
        <v>150.79899618109306</v>
      </c>
      <c r="G69" s="47">
        <v>50.798996181093059</v>
      </c>
    </row>
    <row r="70" spans="1:7" ht="15" customHeight="1" x14ac:dyDescent="0.3">
      <c r="A70" s="75" t="s">
        <v>204</v>
      </c>
      <c r="B70" s="70">
        <v>29716</v>
      </c>
      <c r="C70" s="44">
        <v>8.0829511639166796E-2</v>
      </c>
      <c r="D70" s="52">
        <v>88342</v>
      </c>
      <c r="E70" s="44">
        <v>5.6558933535474337E-2</v>
      </c>
      <c r="F70" s="51">
        <v>142.91201510804603</v>
      </c>
      <c r="G70" s="47">
        <v>42.912015108046035</v>
      </c>
    </row>
    <row r="71" spans="1:7" ht="15" customHeight="1" x14ac:dyDescent="0.3">
      <c r="A71" s="75" t="s">
        <v>205</v>
      </c>
      <c r="B71" s="70">
        <v>2095</v>
      </c>
      <c r="C71" s="44">
        <v>5.6985404120357529E-3</v>
      </c>
      <c r="D71" s="52">
        <v>5160</v>
      </c>
      <c r="E71" s="44">
        <v>3.3035713142451789E-3</v>
      </c>
      <c r="F71" s="51">
        <v>172.49636438793789</v>
      </c>
      <c r="G71" s="47">
        <v>72.496364387937888</v>
      </c>
    </row>
    <row r="72" spans="1:7" ht="15" customHeight="1" x14ac:dyDescent="0.3">
      <c r="A72" s="75" t="s">
        <v>206</v>
      </c>
      <c r="B72" s="70">
        <v>5028</v>
      </c>
      <c r="C72" s="44">
        <v>1.3676496988885806E-2</v>
      </c>
      <c r="D72" s="52">
        <v>12981</v>
      </c>
      <c r="E72" s="44">
        <v>8.3107866725226093E-3</v>
      </c>
      <c r="F72" s="51">
        <v>164.56320596103714</v>
      </c>
      <c r="G72" s="47">
        <v>64.563205961037141</v>
      </c>
    </row>
    <row r="73" spans="1:7" ht="15" customHeight="1" x14ac:dyDescent="0.3">
      <c r="A73" s="64" t="s">
        <v>2</v>
      </c>
      <c r="B73" s="229">
        <v>367638</v>
      </c>
      <c r="C73" s="228"/>
      <c r="D73" s="227">
        <v>1561946</v>
      </c>
      <c r="E73" s="228"/>
      <c r="F73" s="60"/>
      <c r="G73" s="48"/>
    </row>
    <row r="74" spans="1:7" ht="15" customHeight="1" x14ac:dyDescent="0.3">
      <c r="A74" s="11"/>
      <c r="B74" s="11"/>
      <c r="C74" s="212"/>
      <c r="D74" s="11"/>
      <c r="E74" s="11"/>
      <c r="F74" s="11"/>
      <c r="G74" s="58"/>
    </row>
    <row r="75" spans="1:7" ht="15" customHeight="1" x14ac:dyDescent="0.3">
      <c r="A75" s="11" t="s">
        <v>465</v>
      </c>
      <c r="B75" s="11"/>
      <c r="C75" s="212"/>
      <c r="D75" s="11"/>
      <c r="E75" s="11"/>
      <c r="F75" s="11"/>
      <c r="G75" s="58"/>
    </row>
    <row r="76" spans="1:7" ht="39.950000000000003" customHeight="1" x14ac:dyDescent="0.3">
      <c r="A76" s="252" t="s">
        <v>101</v>
      </c>
      <c r="B76" s="230" t="s">
        <v>888</v>
      </c>
      <c r="C76" s="246" t="s">
        <v>888</v>
      </c>
      <c r="D76" s="230" t="s">
        <v>889</v>
      </c>
      <c r="E76" s="231" t="s">
        <v>889</v>
      </c>
      <c r="F76" s="238" t="s">
        <v>1</v>
      </c>
      <c r="G76" s="239" t="s">
        <v>1</v>
      </c>
    </row>
    <row r="77" spans="1:7" ht="15" customHeight="1" x14ac:dyDescent="0.3">
      <c r="A77" s="242" t="s">
        <v>871</v>
      </c>
      <c r="B77" s="37" t="s">
        <v>74</v>
      </c>
      <c r="C77" s="38" t="s">
        <v>75</v>
      </c>
      <c r="D77" s="36" t="s">
        <v>74</v>
      </c>
      <c r="E77" s="38" t="s">
        <v>75</v>
      </c>
      <c r="F77" s="240" t="s">
        <v>869</v>
      </c>
      <c r="G77" s="241" t="s">
        <v>870</v>
      </c>
    </row>
    <row r="78" spans="1:7" x14ac:dyDescent="0.3">
      <c r="A78" s="73" t="s">
        <v>34</v>
      </c>
      <c r="B78" s="70">
        <v>23304</v>
      </c>
      <c r="C78" s="50">
        <v>6.3392062935065566E-2</v>
      </c>
      <c r="D78" s="52">
        <v>109203</v>
      </c>
      <c r="E78" s="50">
        <v>6.9909696054819989E-2</v>
      </c>
      <c r="F78" s="51">
        <v>90.677068436052707</v>
      </c>
      <c r="G78" s="47">
        <v>-9.3229315639472929</v>
      </c>
    </row>
    <row r="79" spans="1:7" x14ac:dyDescent="0.3">
      <c r="A79" s="73" t="s">
        <v>35</v>
      </c>
      <c r="B79" s="70">
        <v>37454</v>
      </c>
      <c r="C79" s="44">
        <v>0.10188320997124725</v>
      </c>
      <c r="D79" s="52">
        <v>162760</v>
      </c>
      <c r="E79" s="44">
        <v>0.10419587492909994</v>
      </c>
      <c r="F79" s="51">
        <v>97.780463996845995</v>
      </c>
      <c r="G79" s="47">
        <v>-2.2195360031540048</v>
      </c>
    </row>
    <row r="80" spans="1:7" ht="45" x14ac:dyDescent="0.3">
      <c r="A80" s="81" t="s">
        <v>207</v>
      </c>
      <c r="B80" s="82">
        <v>26311</v>
      </c>
      <c r="C80" s="44">
        <v>7.1571771708054857E-2</v>
      </c>
      <c r="D80" s="52">
        <v>116976</v>
      </c>
      <c r="E80" s="44">
        <v>7.4885823701808768E-2</v>
      </c>
      <c r="F80" s="51">
        <v>95.57452688649019</v>
      </c>
      <c r="G80" s="47">
        <v>-4.4254731135098098</v>
      </c>
    </row>
    <row r="81" spans="1:7" ht="30" x14ac:dyDescent="0.3">
      <c r="A81" s="74" t="s">
        <v>208</v>
      </c>
      <c r="B81" s="72">
        <v>280548</v>
      </c>
      <c r="C81" s="55">
        <v>0.76315295538563233</v>
      </c>
      <c r="D81" s="57">
        <v>1173119</v>
      </c>
      <c r="E81" s="55">
        <v>0.75100860531427127</v>
      </c>
      <c r="F81" s="51">
        <v>101.61707202626246</v>
      </c>
      <c r="G81" s="47">
        <v>1.6170720262624627</v>
      </c>
    </row>
    <row r="82" spans="1:7" x14ac:dyDescent="0.3">
      <c r="A82" s="64" t="s">
        <v>2</v>
      </c>
      <c r="B82" s="229">
        <v>367617</v>
      </c>
      <c r="C82" s="228"/>
      <c r="D82" s="227">
        <v>1562058</v>
      </c>
      <c r="E82" s="228"/>
      <c r="F82" s="60"/>
      <c r="G82" s="48"/>
    </row>
    <row r="83" spans="1:7" x14ac:dyDescent="0.3">
      <c r="A83" s="14"/>
      <c r="B83" s="2"/>
      <c r="C83" s="214"/>
    </row>
    <row r="84" spans="1:7" x14ac:dyDescent="0.3">
      <c r="A84" s="129" t="s">
        <v>466</v>
      </c>
    </row>
    <row r="85" spans="1:7" ht="39.950000000000003" customHeight="1" x14ac:dyDescent="0.3">
      <c r="A85" s="252" t="s">
        <v>459</v>
      </c>
      <c r="B85" s="230" t="s">
        <v>888</v>
      </c>
      <c r="C85" s="246" t="s">
        <v>888</v>
      </c>
      <c r="D85" s="230" t="s">
        <v>889</v>
      </c>
      <c r="E85" s="231" t="s">
        <v>889</v>
      </c>
      <c r="F85" s="238" t="s">
        <v>1</v>
      </c>
      <c r="G85" s="239" t="s">
        <v>1</v>
      </c>
    </row>
    <row r="86" spans="1:7" x14ac:dyDescent="0.3">
      <c r="A86" s="242" t="s">
        <v>871</v>
      </c>
      <c r="B86" s="37" t="s">
        <v>74</v>
      </c>
      <c r="C86" s="38" t="s">
        <v>75</v>
      </c>
      <c r="D86" s="36" t="s">
        <v>74</v>
      </c>
      <c r="E86" s="38" t="s">
        <v>75</v>
      </c>
      <c r="F86" s="240" t="s">
        <v>869</v>
      </c>
      <c r="G86" s="241" t="s">
        <v>870</v>
      </c>
    </row>
    <row r="87" spans="1:7" x14ac:dyDescent="0.3">
      <c r="A87" s="73" t="s">
        <v>4</v>
      </c>
      <c r="B87" s="70">
        <v>184516</v>
      </c>
      <c r="C87" s="50">
        <v>0.50196278996379107</v>
      </c>
      <c r="D87" s="52">
        <v>793030</v>
      </c>
      <c r="E87" s="50">
        <v>0.50767728822239644</v>
      </c>
      <c r="F87" s="51">
        <v>98.874383709656513</v>
      </c>
      <c r="G87" s="47">
        <v>-1.125616290343487</v>
      </c>
    </row>
    <row r="88" spans="1:7" x14ac:dyDescent="0.3">
      <c r="A88" s="74" t="s">
        <v>3</v>
      </c>
      <c r="B88" s="72">
        <v>183073</v>
      </c>
      <c r="C88" s="55">
        <v>0.49803721003620893</v>
      </c>
      <c r="D88" s="57">
        <v>769045</v>
      </c>
      <c r="E88" s="55">
        <v>0.49232271177760351</v>
      </c>
      <c r="F88" s="51">
        <v>101.16072204712484</v>
      </c>
      <c r="G88" s="47">
        <v>1.1607220471248354</v>
      </c>
    </row>
    <row r="89" spans="1:7" x14ac:dyDescent="0.3">
      <c r="A89" s="64" t="s">
        <v>2</v>
      </c>
      <c r="B89" s="229">
        <v>367589</v>
      </c>
      <c r="C89" s="228"/>
      <c r="D89" s="227">
        <v>1562075</v>
      </c>
      <c r="E89" s="228"/>
      <c r="F89" s="60"/>
      <c r="G89" s="48"/>
    </row>
    <row r="91" spans="1:7" ht="39.950000000000003" customHeight="1" x14ac:dyDescent="0.3">
      <c r="A91" s="252" t="s">
        <v>445</v>
      </c>
      <c r="B91" s="230" t="s">
        <v>888</v>
      </c>
      <c r="C91" s="246" t="s">
        <v>888</v>
      </c>
      <c r="D91" s="230" t="s">
        <v>889</v>
      </c>
      <c r="E91" s="231" t="s">
        <v>889</v>
      </c>
      <c r="F91" s="238" t="s">
        <v>1</v>
      </c>
      <c r="G91" s="239" t="s">
        <v>1</v>
      </c>
    </row>
    <row r="92" spans="1:7" x14ac:dyDescent="0.3">
      <c r="A92" s="242" t="s">
        <v>871</v>
      </c>
      <c r="B92" s="37" t="s">
        <v>74</v>
      </c>
      <c r="C92" s="38" t="s">
        <v>75</v>
      </c>
      <c r="D92" s="36" t="s">
        <v>74</v>
      </c>
      <c r="E92" s="38" t="s">
        <v>75</v>
      </c>
      <c r="F92" s="240" t="s">
        <v>869</v>
      </c>
      <c r="G92" s="241" t="s">
        <v>870</v>
      </c>
    </row>
    <row r="93" spans="1:7" ht="15" customHeight="1" x14ac:dyDescent="0.3">
      <c r="A93" s="75" t="s">
        <v>449</v>
      </c>
      <c r="B93" s="70">
        <v>281180</v>
      </c>
      <c r="C93" s="44">
        <v>0.99689069939763952</v>
      </c>
      <c r="D93" s="52">
        <v>1206840</v>
      </c>
      <c r="E93" s="44">
        <v>0.99798309571240384</v>
      </c>
      <c r="F93" s="51">
        <v>99.890539597368175</v>
      </c>
      <c r="G93" s="47">
        <v>-0.1094604026318251</v>
      </c>
    </row>
    <row r="94" spans="1:7" ht="30" customHeight="1" x14ac:dyDescent="0.3">
      <c r="A94" s="75" t="s">
        <v>450</v>
      </c>
      <c r="B94" s="70">
        <v>877</v>
      </c>
      <c r="C94" s="44">
        <v>3.1093006023605158E-3</v>
      </c>
      <c r="D94" s="52">
        <v>2439</v>
      </c>
      <c r="E94" s="44">
        <v>2.0169042875961625E-3</v>
      </c>
      <c r="F94" s="51">
        <v>154.1620304683035</v>
      </c>
      <c r="G94" s="47">
        <v>54.162030468303499</v>
      </c>
    </row>
    <row r="95" spans="1:7" x14ac:dyDescent="0.3">
      <c r="A95" s="130" t="s">
        <v>446</v>
      </c>
      <c r="B95" s="70">
        <v>364</v>
      </c>
      <c r="C95" s="44">
        <v>1.2905192921998036E-3</v>
      </c>
      <c r="D95" s="52">
        <v>1152</v>
      </c>
      <c r="E95" s="44">
        <v>9.5263375945501411E-4</v>
      </c>
      <c r="F95" s="51">
        <v>135.46856589861861</v>
      </c>
      <c r="G95" s="47">
        <v>35.468565898618607</v>
      </c>
    </row>
    <row r="96" spans="1:7" x14ac:dyDescent="0.3">
      <c r="A96" s="130" t="s">
        <v>447</v>
      </c>
      <c r="B96" s="70">
        <v>333</v>
      </c>
      <c r="C96" s="44">
        <v>1.1806124294025675E-3</v>
      </c>
      <c r="D96" s="52">
        <v>1136</v>
      </c>
      <c r="E96" s="44">
        <v>9.394027350181389E-4</v>
      </c>
      <c r="F96" s="51">
        <v>125.67692059995663</v>
      </c>
      <c r="G96" s="47">
        <v>25.676920599956631</v>
      </c>
    </row>
    <row r="97" spans="1:7" x14ac:dyDescent="0.3">
      <c r="A97" s="130" t="s">
        <v>448</v>
      </c>
      <c r="B97" s="70">
        <v>1013</v>
      </c>
      <c r="C97" s="44">
        <v>3.5914726456000028E-3</v>
      </c>
      <c r="D97" s="52">
        <v>2121</v>
      </c>
      <c r="E97" s="44">
        <v>1.7539376769132682E-3</v>
      </c>
      <c r="F97" s="51">
        <v>204.76626352656888</v>
      </c>
      <c r="G97" s="47">
        <v>104.76626352656888</v>
      </c>
    </row>
    <row r="98" spans="1:7" x14ac:dyDescent="0.3">
      <c r="A98" s="64" t="s">
        <v>444</v>
      </c>
      <c r="B98" s="229">
        <v>282057</v>
      </c>
      <c r="C98" s="228"/>
      <c r="D98" s="227">
        <v>1209279</v>
      </c>
      <c r="E98" s="228"/>
      <c r="F98" s="60"/>
      <c r="G98" s="48"/>
    </row>
    <row r="99" spans="1:7" ht="30" customHeight="1" x14ac:dyDescent="0.3">
      <c r="A99" s="284" t="s">
        <v>890</v>
      </c>
      <c r="B99" s="284"/>
      <c r="C99" s="284"/>
      <c r="D99" s="284"/>
      <c r="E99" s="284"/>
      <c r="F99" s="284"/>
      <c r="G99" s="284"/>
    </row>
    <row r="101" spans="1:7" x14ac:dyDescent="0.3">
      <c r="A101" s="129" t="s">
        <v>439</v>
      </c>
    </row>
    <row r="102" spans="1:7" ht="39.950000000000003" customHeight="1" x14ac:dyDescent="0.3">
      <c r="A102" s="252" t="s">
        <v>439</v>
      </c>
      <c r="B102" s="230" t="s">
        <v>888</v>
      </c>
      <c r="C102" s="246" t="s">
        <v>888</v>
      </c>
      <c r="D102" s="230" t="s">
        <v>889</v>
      </c>
      <c r="E102" s="231" t="s">
        <v>889</v>
      </c>
      <c r="F102" s="238" t="s">
        <v>1</v>
      </c>
      <c r="G102" s="239" t="s">
        <v>1</v>
      </c>
    </row>
    <row r="103" spans="1:7" x14ac:dyDescent="0.3">
      <c r="A103" s="242" t="s">
        <v>871</v>
      </c>
      <c r="B103" s="37" t="s">
        <v>74</v>
      </c>
      <c r="C103" s="38" t="s">
        <v>75</v>
      </c>
      <c r="D103" s="36" t="s">
        <v>74</v>
      </c>
      <c r="E103" s="38" t="s">
        <v>75</v>
      </c>
      <c r="F103" s="240" t="s">
        <v>869</v>
      </c>
      <c r="G103" s="241" t="s">
        <v>870</v>
      </c>
    </row>
    <row r="104" spans="1:7" x14ac:dyDescent="0.3">
      <c r="A104" s="75" t="s">
        <v>440</v>
      </c>
      <c r="B104" s="70">
        <v>257719</v>
      </c>
      <c r="C104" s="44">
        <v>0.92681339231128856</v>
      </c>
      <c r="D104" s="52">
        <v>1143033</v>
      </c>
      <c r="E104" s="44">
        <v>0.95830769256565851</v>
      </c>
      <c r="F104" s="51">
        <v>96.713550303446823</v>
      </c>
      <c r="G104" s="47">
        <v>-3.2864496965531771</v>
      </c>
    </row>
    <row r="105" spans="1:7" x14ac:dyDescent="0.3">
      <c r="A105" s="75" t="s">
        <v>441</v>
      </c>
      <c r="B105" s="70">
        <v>7284</v>
      </c>
      <c r="C105" s="44">
        <v>2.6194843025137554E-2</v>
      </c>
      <c r="D105" s="52">
        <v>20382</v>
      </c>
      <c r="E105" s="44">
        <v>1.7088069539438713E-2</v>
      </c>
      <c r="F105" s="51">
        <v>153.29316728657207</v>
      </c>
      <c r="G105" s="47">
        <v>53.293167286572071</v>
      </c>
    </row>
    <row r="106" spans="1:7" x14ac:dyDescent="0.3">
      <c r="A106" s="75" t="s">
        <v>442</v>
      </c>
      <c r="B106" s="70">
        <v>10503</v>
      </c>
      <c r="C106" s="44">
        <v>3.7771064839788544E-2</v>
      </c>
      <c r="D106" s="52">
        <v>23630</v>
      </c>
      <c r="E106" s="44">
        <v>1.9811160986013973E-2</v>
      </c>
      <c r="F106" s="51">
        <v>190.65548387827283</v>
      </c>
      <c r="G106" s="47">
        <v>90.655483878272832</v>
      </c>
    </row>
    <row r="107" spans="1:7" x14ac:dyDescent="0.3">
      <c r="A107" s="75" t="s">
        <v>443</v>
      </c>
      <c r="B107" s="70">
        <v>2564</v>
      </c>
      <c r="C107" s="44">
        <v>9.2206998237853773E-3</v>
      </c>
      <c r="D107" s="52">
        <v>5717</v>
      </c>
      <c r="E107" s="44">
        <v>4.7930769088887805E-3</v>
      </c>
      <c r="F107" s="51">
        <v>192.37537805173858</v>
      </c>
      <c r="G107" s="47">
        <v>92.375378051738579</v>
      </c>
    </row>
    <row r="108" spans="1:7" x14ac:dyDescent="0.3">
      <c r="A108" s="64" t="s">
        <v>444</v>
      </c>
      <c r="B108" s="229">
        <v>278070</v>
      </c>
      <c r="C108" s="228"/>
      <c r="D108" s="227">
        <v>1192762</v>
      </c>
      <c r="E108" s="228"/>
      <c r="F108" s="60"/>
      <c r="G108" s="48"/>
    </row>
    <row r="109" spans="1:7" ht="30" customHeight="1" x14ac:dyDescent="0.3">
      <c r="A109" s="284" t="s">
        <v>891</v>
      </c>
      <c r="B109" s="284"/>
      <c r="C109" s="284"/>
      <c r="D109" s="284"/>
      <c r="E109" s="284"/>
      <c r="F109" s="284"/>
      <c r="G109" s="284"/>
    </row>
    <row r="110" spans="1:7" ht="15.75" x14ac:dyDescent="0.35">
      <c r="A110" s="142"/>
      <c r="B110" s="142"/>
      <c r="C110" s="215"/>
      <c r="D110" s="142"/>
      <c r="E110" s="142"/>
      <c r="F110" s="142"/>
      <c r="G110" s="142"/>
    </row>
    <row r="111" spans="1:7" x14ac:dyDescent="0.3">
      <c r="A111" s="129" t="s">
        <v>262</v>
      </c>
      <c r="B111" s="85"/>
      <c r="C111" s="216"/>
      <c r="D111" s="85"/>
      <c r="E111" s="85"/>
      <c r="F111" s="85"/>
      <c r="G111" s="86"/>
    </row>
    <row r="112" spans="1:7" ht="39.950000000000003" customHeight="1" x14ac:dyDescent="0.3">
      <c r="A112" s="252" t="s">
        <v>262</v>
      </c>
      <c r="B112" s="230" t="s">
        <v>888</v>
      </c>
      <c r="C112" s="246" t="s">
        <v>888</v>
      </c>
      <c r="D112" s="230" t="s">
        <v>889</v>
      </c>
      <c r="E112" s="231" t="s">
        <v>889</v>
      </c>
      <c r="F112" s="238" t="s">
        <v>1</v>
      </c>
      <c r="G112" s="239" t="s">
        <v>1</v>
      </c>
    </row>
    <row r="113" spans="1:7" ht="15" customHeight="1" x14ac:dyDescent="0.3">
      <c r="A113" s="242" t="s">
        <v>871</v>
      </c>
      <c r="B113" s="37" t="s">
        <v>74</v>
      </c>
      <c r="C113" s="38" t="s">
        <v>75</v>
      </c>
      <c r="D113" s="36" t="s">
        <v>74</v>
      </c>
      <c r="E113" s="38" t="s">
        <v>75</v>
      </c>
      <c r="F113" s="240" t="s">
        <v>869</v>
      </c>
      <c r="G113" s="241" t="s">
        <v>870</v>
      </c>
    </row>
    <row r="114" spans="1:7" x14ac:dyDescent="0.3">
      <c r="A114" s="87" t="s">
        <v>270</v>
      </c>
      <c r="B114" s="52">
        <v>195839</v>
      </c>
      <c r="C114" s="217">
        <v>0.57287991809273076</v>
      </c>
      <c r="D114" s="43">
        <v>736168</v>
      </c>
      <c r="E114" s="44">
        <v>0.50373127690002262</v>
      </c>
      <c r="F114" s="51">
        <v>113.72728761617721</v>
      </c>
      <c r="G114" s="47">
        <v>13.727287616177207</v>
      </c>
    </row>
    <row r="115" spans="1:7" x14ac:dyDescent="0.3">
      <c r="A115" s="87" t="s">
        <v>263</v>
      </c>
      <c r="B115" s="52">
        <v>110589</v>
      </c>
      <c r="C115" s="217">
        <v>0.32350153576129881</v>
      </c>
      <c r="D115" s="43">
        <v>641657</v>
      </c>
      <c r="E115" s="44">
        <v>0.43906105663630829</v>
      </c>
      <c r="F115" s="51">
        <v>73.680307299325804</v>
      </c>
      <c r="G115" s="47">
        <v>-26.319692700674196</v>
      </c>
    </row>
    <row r="116" spans="1:7" x14ac:dyDescent="0.3">
      <c r="A116" s="87" t="s">
        <v>264</v>
      </c>
      <c r="B116" s="52">
        <v>2300</v>
      </c>
      <c r="C116" s="217">
        <v>6.7280971186192773E-3</v>
      </c>
      <c r="D116" s="43">
        <v>6762</v>
      </c>
      <c r="E116" s="44">
        <v>4.6269749491935977E-3</v>
      </c>
      <c r="F116" s="51">
        <v>145.41027761111758</v>
      </c>
      <c r="G116" s="47">
        <v>45.410277611117579</v>
      </c>
    </row>
    <row r="117" spans="1:7" x14ac:dyDescent="0.3">
      <c r="A117" s="87" t="s">
        <v>265</v>
      </c>
      <c r="B117" s="52">
        <v>2638</v>
      </c>
      <c r="C117" s="217">
        <v>7.7168348690946319E-3</v>
      </c>
      <c r="D117" s="43">
        <v>9360</v>
      </c>
      <c r="E117" s="44">
        <v>6.404685821421484E-3</v>
      </c>
      <c r="F117" s="51">
        <v>120.4873288754377</v>
      </c>
      <c r="G117" s="47">
        <v>20.487328875437697</v>
      </c>
    </row>
    <row r="118" spans="1:7" x14ac:dyDescent="0.3">
      <c r="A118" s="87" t="s">
        <v>266</v>
      </c>
      <c r="B118" s="52">
        <v>1092</v>
      </c>
      <c r="C118" s="217">
        <v>3.1943835015357611E-3</v>
      </c>
      <c r="D118" s="43">
        <v>2182</v>
      </c>
      <c r="E118" s="44">
        <v>1.4930581690535982E-3</v>
      </c>
      <c r="F118" s="51">
        <v>213.94903211042197</v>
      </c>
      <c r="G118" s="47">
        <v>113.94903211042197</v>
      </c>
    </row>
    <row r="119" spans="1:7" x14ac:dyDescent="0.3">
      <c r="A119" s="87" t="s">
        <v>267</v>
      </c>
      <c r="B119" s="52">
        <v>24838</v>
      </c>
      <c r="C119" s="217">
        <v>7.265759836185462E-2</v>
      </c>
      <c r="D119" s="43">
        <v>51790</v>
      </c>
      <c r="E119" s="44">
        <v>3.5437893022587465E-2</v>
      </c>
      <c r="F119" s="51">
        <v>205.02798604743231</v>
      </c>
      <c r="G119" s="47">
        <v>105.02798604743231</v>
      </c>
    </row>
    <row r="120" spans="1:7" x14ac:dyDescent="0.3">
      <c r="A120" s="87" t="s">
        <v>268</v>
      </c>
      <c r="B120" s="52">
        <v>1667</v>
      </c>
      <c r="C120" s="217">
        <v>4.8764077811905802E-3</v>
      </c>
      <c r="D120" s="43">
        <v>4219</v>
      </c>
      <c r="E120" s="44">
        <v>2.88689844877962E-3</v>
      </c>
      <c r="F120" s="51">
        <v>168.91511314684405</v>
      </c>
      <c r="G120" s="47">
        <v>68.91511314684405</v>
      </c>
    </row>
    <row r="121" spans="1:7" x14ac:dyDescent="0.3">
      <c r="A121" s="87" t="s">
        <v>269</v>
      </c>
      <c r="B121" s="52">
        <v>2887</v>
      </c>
      <c r="C121" s="217">
        <v>8.4452245136755894E-3</v>
      </c>
      <c r="D121" s="43">
        <v>9292</v>
      </c>
      <c r="E121" s="44">
        <v>6.3581560526333796E-3</v>
      </c>
      <c r="F121" s="51">
        <v>132.82505877121088</v>
      </c>
      <c r="G121" s="47">
        <v>32.825058771210877</v>
      </c>
    </row>
    <row r="122" spans="1:7" ht="30" x14ac:dyDescent="0.3">
      <c r="A122" s="64" t="s">
        <v>380</v>
      </c>
      <c r="B122" s="229">
        <v>341850</v>
      </c>
      <c r="C122" s="228"/>
      <c r="D122" s="227">
        <v>1461430</v>
      </c>
      <c r="E122" s="228"/>
      <c r="F122" s="60"/>
      <c r="G122" s="48"/>
    </row>
    <row r="123" spans="1:7" ht="30" customHeight="1" x14ac:dyDescent="0.35">
      <c r="A123" s="282" t="s">
        <v>892</v>
      </c>
      <c r="B123" s="282"/>
      <c r="C123" s="282"/>
      <c r="D123" s="282"/>
      <c r="E123" s="282"/>
      <c r="F123" s="282"/>
      <c r="G123" s="282"/>
    </row>
    <row r="124" spans="1:7" x14ac:dyDescent="0.3">
      <c r="A124" s="286"/>
      <c r="B124" s="286"/>
      <c r="C124" s="286"/>
      <c r="D124" s="286"/>
      <c r="E124" s="286"/>
      <c r="F124" s="286"/>
      <c r="G124" s="286"/>
    </row>
    <row r="125" spans="1:7" ht="15.75" x14ac:dyDescent="0.35">
      <c r="A125" s="142"/>
      <c r="B125" s="142"/>
      <c r="C125" s="215"/>
      <c r="D125" s="142"/>
      <c r="E125" s="142"/>
      <c r="F125" s="142"/>
      <c r="G125" s="142"/>
    </row>
    <row r="126" spans="1:7" ht="15" customHeight="1" x14ac:dyDescent="0.3">
      <c r="A126" s="17" t="s">
        <v>184</v>
      </c>
      <c r="B126" s="9"/>
      <c r="C126" s="213"/>
      <c r="D126" s="9"/>
      <c r="E126" s="9"/>
      <c r="F126" s="9"/>
    </row>
    <row r="127" spans="1:7" ht="15" customHeight="1" x14ac:dyDescent="0.3">
      <c r="A127" s="129" t="s">
        <v>460</v>
      </c>
      <c r="B127" s="9"/>
      <c r="C127" s="213"/>
      <c r="D127" s="9"/>
      <c r="E127" s="9"/>
      <c r="F127" s="9"/>
    </row>
    <row r="128" spans="1:7" ht="39.950000000000003" customHeight="1" x14ac:dyDescent="0.3">
      <c r="A128" s="252" t="s">
        <v>102</v>
      </c>
      <c r="B128" s="230" t="s">
        <v>888</v>
      </c>
      <c r="C128" s="246" t="s">
        <v>888</v>
      </c>
      <c r="D128" s="230" t="s">
        <v>889</v>
      </c>
      <c r="E128" s="231" t="s">
        <v>889</v>
      </c>
      <c r="F128" s="238" t="s">
        <v>1</v>
      </c>
      <c r="G128" s="239" t="s">
        <v>1</v>
      </c>
    </row>
    <row r="129" spans="1:7" x14ac:dyDescent="0.3">
      <c r="A129" s="242" t="s">
        <v>871</v>
      </c>
      <c r="B129" s="37" t="s">
        <v>74</v>
      </c>
      <c r="C129" s="38" t="s">
        <v>75</v>
      </c>
      <c r="D129" s="36" t="s">
        <v>74</v>
      </c>
      <c r="E129" s="38" t="s">
        <v>75</v>
      </c>
      <c r="F129" s="240" t="s">
        <v>869</v>
      </c>
      <c r="G129" s="241" t="s">
        <v>870</v>
      </c>
    </row>
    <row r="130" spans="1:7" x14ac:dyDescent="0.3">
      <c r="A130" s="73" t="s">
        <v>183</v>
      </c>
      <c r="B130" s="70">
        <v>37952</v>
      </c>
      <c r="C130" s="50">
        <v>0.25496980161102861</v>
      </c>
      <c r="D130" s="52">
        <v>177689</v>
      </c>
      <c r="E130" s="50">
        <v>0.27408537431860042</v>
      </c>
      <c r="F130" s="51">
        <v>93.025686702512033</v>
      </c>
      <c r="G130" s="47">
        <v>-6.9743132974879671</v>
      </c>
    </row>
    <row r="131" spans="1:7" x14ac:dyDescent="0.3">
      <c r="A131" s="73" t="s">
        <v>144</v>
      </c>
      <c r="B131" s="70">
        <v>110897</v>
      </c>
      <c r="C131" s="44">
        <v>0.74503019838897133</v>
      </c>
      <c r="D131" s="52">
        <v>470609</v>
      </c>
      <c r="E131" s="44">
        <v>0.72591462568139964</v>
      </c>
      <c r="F131" s="51">
        <v>102.63330866072968</v>
      </c>
      <c r="G131" s="47">
        <v>2.6333086607296821</v>
      </c>
    </row>
    <row r="132" spans="1:7" x14ac:dyDescent="0.3">
      <c r="A132" s="64" t="s">
        <v>209</v>
      </c>
      <c r="B132" s="229">
        <v>148849</v>
      </c>
      <c r="C132" s="228"/>
      <c r="D132" s="227">
        <v>648298</v>
      </c>
      <c r="E132" s="228"/>
      <c r="F132" s="60"/>
      <c r="G132" s="48"/>
    </row>
    <row r="133" spans="1:7" x14ac:dyDescent="0.3">
      <c r="A133" s="11"/>
      <c r="B133" s="11"/>
      <c r="C133" s="212"/>
      <c r="D133" s="11"/>
      <c r="E133" s="11"/>
      <c r="F133" s="11"/>
    </row>
    <row r="134" spans="1:7" x14ac:dyDescent="0.3">
      <c r="A134" s="144" t="s">
        <v>305</v>
      </c>
      <c r="B134" s="117"/>
      <c r="C134" s="218"/>
      <c r="D134" s="117"/>
      <c r="E134" s="117"/>
      <c r="F134" s="117"/>
      <c r="G134" s="117"/>
    </row>
    <row r="135" spans="1:7" ht="33" customHeight="1" x14ac:dyDescent="0.3">
      <c r="A135" s="274" t="s">
        <v>306</v>
      </c>
      <c r="B135" s="274"/>
      <c r="C135" s="274"/>
      <c r="D135" s="274"/>
      <c r="E135" s="274"/>
      <c r="F135" s="274"/>
      <c r="G135" s="274"/>
    </row>
    <row r="136" spans="1:7" ht="16.5" customHeight="1" x14ac:dyDescent="0.3">
      <c r="A136" s="275" t="s">
        <v>300</v>
      </c>
      <c r="B136" s="275"/>
      <c r="C136" s="275"/>
      <c r="D136" s="275"/>
      <c r="E136" s="275"/>
      <c r="F136" s="275"/>
      <c r="G136" s="275"/>
    </row>
    <row r="137" spans="1:7" x14ac:dyDescent="0.3">
      <c r="A137" s="275" t="s">
        <v>307</v>
      </c>
      <c r="B137" s="275"/>
      <c r="C137" s="275"/>
      <c r="D137" s="275"/>
      <c r="E137" s="275"/>
      <c r="F137" s="275"/>
      <c r="G137" s="275"/>
    </row>
    <row r="138" spans="1:7" x14ac:dyDescent="0.3">
      <c r="A138" s="285" t="s">
        <v>301</v>
      </c>
      <c r="B138" s="285"/>
      <c r="C138" s="285"/>
      <c r="D138" s="285"/>
      <c r="E138" s="285"/>
      <c r="F138" s="285"/>
      <c r="G138" s="285"/>
    </row>
    <row r="139" spans="1:7" ht="16.5" customHeight="1" x14ac:dyDescent="0.3">
      <c r="A139" s="275" t="s">
        <v>302</v>
      </c>
      <c r="B139" s="275"/>
      <c r="C139" s="275"/>
      <c r="D139" s="275"/>
      <c r="E139" s="275"/>
      <c r="F139" s="275"/>
      <c r="G139" s="275"/>
    </row>
    <row r="140" spans="1:7" ht="16.5" customHeight="1" x14ac:dyDescent="0.3">
      <c r="A140" s="275" t="s">
        <v>303</v>
      </c>
      <c r="B140" s="275"/>
      <c r="C140" s="275"/>
      <c r="D140" s="275"/>
      <c r="E140" s="275"/>
      <c r="F140" s="275"/>
      <c r="G140" s="275"/>
    </row>
    <row r="141" spans="1:7" ht="16.5" customHeight="1" x14ac:dyDescent="0.3">
      <c r="A141" s="285" t="s">
        <v>304</v>
      </c>
      <c r="B141" s="285"/>
      <c r="C141" s="285"/>
      <c r="D141" s="285"/>
      <c r="E141" s="285"/>
      <c r="F141" s="285"/>
      <c r="G141" s="285"/>
    </row>
    <row r="142" spans="1:7" ht="6.75" customHeight="1" x14ac:dyDescent="0.3">
      <c r="A142" s="285"/>
      <c r="B142" s="285"/>
      <c r="C142" s="285"/>
      <c r="D142" s="285"/>
      <c r="E142" s="285"/>
      <c r="F142" s="285"/>
      <c r="G142" s="285"/>
    </row>
    <row r="143" spans="1:7" ht="39.950000000000003" customHeight="1" x14ac:dyDescent="0.3">
      <c r="A143" s="252" t="s">
        <v>529</v>
      </c>
      <c r="B143" s="230" t="s">
        <v>888</v>
      </c>
      <c r="C143" s="246" t="s">
        <v>888</v>
      </c>
      <c r="D143" s="230" t="s">
        <v>889</v>
      </c>
      <c r="E143" s="231" t="s">
        <v>889</v>
      </c>
      <c r="F143" s="238" t="s">
        <v>1</v>
      </c>
      <c r="G143" s="239" t="s">
        <v>1</v>
      </c>
    </row>
    <row r="144" spans="1:7" ht="15.75" customHeight="1" x14ac:dyDescent="0.3">
      <c r="A144" s="242" t="s">
        <v>871</v>
      </c>
      <c r="B144" s="37" t="s">
        <v>74</v>
      </c>
      <c r="C144" s="38" t="s">
        <v>75</v>
      </c>
      <c r="D144" s="36" t="s">
        <v>74</v>
      </c>
      <c r="E144" s="38" t="s">
        <v>75</v>
      </c>
      <c r="F144" s="240" t="s">
        <v>869</v>
      </c>
      <c r="G144" s="241" t="s">
        <v>870</v>
      </c>
    </row>
    <row r="145" spans="1:7" x14ac:dyDescent="0.3">
      <c r="A145" s="87" t="s">
        <v>295</v>
      </c>
      <c r="B145" s="52">
        <v>76655</v>
      </c>
      <c r="C145" s="217">
        <v>0.5150957215909473</v>
      </c>
      <c r="D145" s="43">
        <v>333942</v>
      </c>
      <c r="E145" s="44">
        <v>0.51524479149791014</v>
      </c>
      <c r="F145" s="51">
        <v>99.971068138985075</v>
      </c>
      <c r="G145" s="47">
        <v>-2.8931861014925175E-2</v>
      </c>
    </row>
    <row r="146" spans="1:7" x14ac:dyDescent="0.3">
      <c r="A146" s="87" t="s">
        <v>296</v>
      </c>
      <c r="B146" s="52">
        <v>46691</v>
      </c>
      <c r="C146" s="217">
        <v>0.31374775731267263</v>
      </c>
      <c r="D146" s="43">
        <v>210994</v>
      </c>
      <c r="E146" s="44">
        <v>0.3255462311937703</v>
      </c>
      <c r="F146" s="51">
        <v>96.375791592538803</v>
      </c>
      <c r="G146" s="47">
        <v>-3.6242084074611967</v>
      </c>
    </row>
    <row r="147" spans="1:7" x14ac:dyDescent="0.3">
      <c r="A147" s="87" t="s">
        <v>297</v>
      </c>
      <c r="B147" s="52">
        <v>19477</v>
      </c>
      <c r="C147" s="217">
        <v>0.1308788646458402</v>
      </c>
      <c r="D147" s="43">
        <v>81793</v>
      </c>
      <c r="E147" s="44">
        <v>0.12619981083837481</v>
      </c>
      <c r="F147" s="51">
        <v>103.70765516713642</v>
      </c>
      <c r="G147" s="47">
        <v>3.7076551671364228</v>
      </c>
    </row>
    <row r="148" spans="1:7" x14ac:dyDescent="0.3">
      <c r="A148" s="87" t="s">
        <v>298</v>
      </c>
      <c r="B148" s="52">
        <v>5524</v>
      </c>
      <c r="C148" s="217">
        <v>3.7119415120584344E-2</v>
      </c>
      <c r="D148" s="43">
        <v>20042</v>
      </c>
      <c r="E148" s="44">
        <v>3.092314267507865E-2</v>
      </c>
      <c r="F148" s="51">
        <v>120.03765435684306</v>
      </c>
      <c r="G148" s="47">
        <v>20.037654356843063</v>
      </c>
    </row>
    <row r="149" spans="1:7" x14ac:dyDescent="0.3">
      <c r="A149" s="87" t="s">
        <v>299</v>
      </c>
      <c r="B149" s="52">
        <v>470</v>
      </c>
      <c r="C149" s="217">
        <v>3.1582413299555828E-3</v>
      </c>
      <c r="D149" s="89">
        <v>1352</v>
      </c>
      <c r="E149" s="55">
        <v>2.0860237948660981E-3</v>
      </c>
      <c r="F149" s="51">
        <v>151.4000625365978</v>
      </c>
      <c r="G149" s="47">
        <v>51.400062536597801</v>
      </c>
    </row>
    <row r="150" spans="1:7" ht="15" customHeight="1" x14ac:dyDescent="0.3">
      <c r="A150" s="64" t="s">
        <v>209</v>
      </c>
      <c r="B150" s="229">
        <v>148817</v>
      </c>
      <c r="C150" s="228"/>
      <c r="D150" s="227">
        <v>648123</v>
      </c>
      <c r="E150" s="228"/>
      <c r="F150" s="60"/>
      <c r="G150" s="48"/>
    </row>
    <row r="151" spans="1:7" x14ac:dyDescent="0.3">
      <c r="A151" s="232"/>
      <c r="B151" s="232"/>
      <c r="C151" s="232"/>
      <c r="D151" s="232"/>
      <c r="E151" s="232"/>
      <c r="F151" s="232"/>
      <c r="G151" s="232"/>
    </row>
    <row r="152" spans="1:7" ht="15" customHeight="1" x14ac:dyDescent="0.3">
      <c r="A152" s="129" t="s">
        <v>471</v>
      </c>
      <c r="B152" s="9"/>
      <c r="C152" s="213"/>
      <c r="D152" s="9"/>
      <c r="E152" s="9"/>
      <c r="F152" s="9"/>
    </row>
    <row r="153" spans="1:7" ht="39.950000000000003" customHeight="1" x14ac:dyDescent="0.3">
      <c r="A153" s="247" t="s">
        <v>473</v>
      </c>
      <c r="B153" s="230" t="s">
        <v>888</v>
      </c>
      <c r="C153" s="246" t="s">
        <v>888</v>
      </c>
      <c r="D153" s="230" t="s">
        <v>889</v>
      </c>
      <c r="E153" s="231" t="s">
        <v>889</v>
      </c>
      <c r="F153" s="238" t="s">
        <v>1</v>
      </c>
      <c r="G153" s="239" t="s">
        <v>1</v>
      </c>
    </row>
    <row r="154" spans="1:7" x14ac:dyDescent="0.3">
      <c r="A154" s="242" t="s">
        <v>871</v>
      </c>
      <c r="B154" s="37" t="s">
        <v>74</v>
      </c>
      <c r="C154" s="38" t="s">
        <v>75</v>
      </c>
      <c r="D154" s="36" t="s">
        <v>74</v>
      </c>
      <c r="E154" s="38" t="s">
        <v>75</v>
      </c>
      <c r="F154" s="240" t="s">
        <v>869</v>
      </c>
      <c r="G154" s="241" t="s">
        <v>870</v>
      </c>
    </row>
    <row r="155" spans="1:7" x14ac:dyDescent="0.3">
      <c r="A155" s="73" t="s">
        <v>474</v>
      </c>
      <c r="B155" s="70">
        <v>1339</v>
      </c>
      <c r="C155" s="50">
        <v>0.10094232943837166</v>
      </c>
      <c r="D155" s="52">
        <v>9719</v>
      </c>
      <c r="E155" s="50">
        <v>0.28016719515710581</v>
      </c>
      <c r="F155" s="51">
        <v>36.029317915599471</v>
      </c>
      <c r="G155" s="47">
        <v>-63.970682084400529</v>
      </c>
    </row>
    <row r="156" spans="1:7" x14ac:dyDescent="0.3">
      <c r="A156" s="146" t="s">
        <v>477</v>
      </c>
      <c r="B156" s="70">
        <v>0</v>
      </c>
      <c r="C156" s="50">
        <v>0</v>
      </c>
      <c r="D156" s="52">
        <v>115</v>
      </c>
      <c r="E156" s="50">
        <v>3.3150763908907466E-3</v>
      </c>
      <c r="F156" s="51">
        <v>0</v>
      </c>
      <c r="G156" s="47">
        <v>-100</v>
      </c>
    </row>
    <row r="157" spans="1:7" x14ac:dyDescent="0.3">
      <c r="A157" s="147" t="s">
        <v>478</v>
      </c>
      <c r="B157" s="70">
        <v>0</v>
      </c>
      <c r="C157" s="50">
        <v>0</v>
      </c>
      <c r="D157" s="52">
        <v>0</v>
      </c>
      <c r="E157" s="50">
        <v>0</v>
      </c>
      <c r="F157" s="51">
        <v>100</v>
      </c>
      <c r="G157" s="47">
        <v>0</v>
      </c>
    </row>
    <row r="158" spans="1:7" ht="30" x14ac:dyDescent="0.3">
      <c r="A158" s="147" t="s">
        <v>480</v>
      </c>
      <c r="B158" s="70">
        <v>0</v>
      </c>
      <c r="C158" s="50">
        <v>0</v>
      </c>
      <c r="D158" s="52">
        <v>104</v>
      </c>
      <c r="E158" s="50">
        <v>2.9979821274142403E-3</v>
      </c>
      <c r="F158" s="51">
        <v>0</v>
      </c>
      <c r="G158" s="47">
        <v>-100</v>
      </c>
    </row>
    <row r="159" spans="1:7" x14ac:dyDescent="0.3">
      <c r="A159" s="147" t="s">
        <v>481</v>
      </c>
      <c r="B159" s="70">
        <v>0</v>
      </c>
      <c r="C159" s="50">
        <v>0</v>
      </c>
      <c r="D159" s="52">
        <v>11</v>
      </c>
      <c r="E159" s="50">
        <v>3.1709426347650621E-4</v>
      </c>
      <c r="F159" s="51">
        <v>0</v>
      </c>
      <c r="G159" s="47">
        <v>-100</v>
      </c>
    </row>
    <row r="160" spans="1:7" x14ac:dyDescent="0.3">
      <c r="A160" s="146" t="s">
        <v>479</v>
      </c>
      <c r="B160" s="70">
        <v>39</v>
      </c>
      <c r="C160" s="50">
        <v>2.9400678477195627E-3</v>
      </c>
      <c r="D160" s="52">
        <v>252</v>
      </c>
      <c r="E160" s="50">
        <v>7.2643413087345055E-3</v>
      </c>
      <c r="F160" s="51">
        <v>40.472600649758583</v>
      </c>
      <c r="G160" s="47">
        <v>-59.527399350241417</v>
      </c>
    </row>
    <row r="161" spans="1:7" x14ac:dyDescent="0.3">
      <c r="A161" s="147" t="s">
        <v>482</v>
      </c>
      <c r="B161" s="70">
        <v>1</v>
      </c>
      <c r="C161" s="50">
        <v>7.5386355069732378E-5</v>
      </c>
      <c r="D161" s="52">
        <v>12</v>
      </c>
      <c r="E161" s="50">
        <v>3.4592101470164313E-4</v>
      </c>
      <c r="F161" s="51">
        <v>21.792938811408469</v>
      </c>
      <c r="G161" s="47">
        <v>-78.207061188591524</v>
      </c>
    </row>
    <row r="162" spans="1:7" x14ac:dyDescent="0.3">
      <c r="A162" s="147" t="s">
        <v>483</v>
      </c>
      <c r="B162" s="70">
        <v>0</v>
      </c>
      <c r="C162" s="50">
        <v>0</v>
      </c>
      <c r="D162" s="52">
        <v>33</v>
      </c>
      <c r="E162" s="50">
        <v>9.5128279042951862E-4</v>
      </c>
      <c r="F162" s="51">
        <v>0</v>
      </c>
      <c r="G162" s="47">
        <v>-100</v>
      </c>
    </row>
    <row r="163" spans="1:7" x14ac:dyDescent="0.3">
      <c r="A163" s="147" t="s">
        <v>484</v>
      </c>
      <c r="B163" s="70">
        <v>38</v>
      </c>
      <c r="C163" s="50">
        <v>2.8646814926498302E-3</v>
      </c>
      <c r="D163" s="52">
        <v>207</v>
      </c>
      <c r="E163" s="50">
        <v>5.9671375036033439E-3</v>
      </c>
      <c r="F163" s="51">
        <v>48.00763332368242</v>
      </c>
      <c r="G163" s="47">
        <v>-51.99236667631758</v>
      </c>
    </row>
    <row r="164" spans="1:7" x14ac:dyDescent="0.3">
      <c r="A164" s="147" t="s">
        <v>485</v>
      </c>
      <c r="B164" s="70">
        <v>0</v>
      </c>
      <c r="C164" s="50">
        <v>0</v>
      </c>
      <c r="D164" s="52">
        <v>0</v>
      </c>
      <c r="E164" s="50">
        <v>0</v>
      </c>
      <c r="F164" s="65">
        <v>100</v>
      </c>
      <c r="G164" s="94">
        <v>0</v>
      </c>
    </row>
    <row r="165" spans="1:7" ht="14.45" customHeight="1" x14ac:dyDescent="0.3">
      <c r="A165" s="146" t="s">
        <v>486</v>
      </c>
      <c r="B165" s="70">
        <v>0</v>
      </c>
      <c r="C165" s="50">
        <v>0</v>
      </c>
      <c r="D165" s="52">
        <v>0</v>
      </c>
      <c r="E165" s="50">
        <v>0</v>
      </c>
      <c r="F165" s="51">
        <v>100</v>
      </c>
      <c r="G165" s="47">
        <v>0</v>
      </c>
    </row>
    <row r="166" spans="1:7" x14ac:dyDescent="0.3">
      <c r="A166" s="147" t="s">
        <v>487</v>
      </c>
      <c r="B166" s="70">
        <v>0</v>
      </c>
      <c r="C166" s="50">
        <v>0</v>
      </c>
      <c r="D166" s="52">
        <v>0</v>
      </c>
      <c r="E166" s="50">
        <v>0</v>
      </c>
      <c r="F166" s="51">
        <v>100</v>
      </c>
      <c r="G166" s="47">
        <v>0</v>
      </c>
    </row>
    <row r="167" spans="1:7" x14ac:dyDescent="0.3">
      <c r="A167" s="146" t="s">
        <v>100</v>
      </c>
      <c r="B167" s="70">
        <v>1300</v>
      </c>
      <c r="C167" s="50">
        <v>9.800226159065209E-2</v>
      </c>
      <c r="D167" s="52">
        <v>9352</v>
      </c>
      <c r="E167" s="50">
        <v>0.26958777745748053</v>
      </c>
      <c r="F167" s="51">
        <v>36.352635314154419</v>
      </c>
      <c r="G167" s="47">
        <v>-63.647364685845581</v>
      </c>
    </row>
    <row r="168" spans="1:7" x14ac:dyDescent="0.3">
      <c r="A168" s="147" t="s">
        <v>483</v>
      </c>
      <c r="B168" s="70">
        <v>901</v>
      </c>
      <c r="C168" s="50">
        <v>6.792310591782888E-2</v>
      </c>
      <c r="D168" s="52">
        <v>4994</v>
      </c>
      <c r="E168" s="50">
        <v>0.1439607956183338</v>
      </c>
      <c r="F168" s="51">
        <v>47.181668888455832</v>
      </c>
      <c r="G168" s="47">
        <v>-52.818331111544168</v>
      </c>
    </row>
    <row r="169" spans="1:7" x14ac:dyDescent="0.3">
      <c r="A169" s="147" t="s">
        <v>484</v>
      </c>
      <c r="B169" s="70">
        <v>330</v>
      </c>
      <c r="C169" s="50">
        <v>2.4877497173011683E-2</v>
      </c>
      <c r="D169" s="52">
        <v>4113</v>
      </c>
      <c r="E169" s="50">
        <v>0.11856442778898818</v>
      </c>
      <c r="F169" s="51">
        <v>20.982260562406402</v>
      </c>
      <c r="G169" s="47">
        <v>-79.017739437593605</v>
      </c>
    </row>
    <row r="170" spans="1:7" x14ac:dyDescent="0.3">
      <c r="A170" s="147" t="s">
        <v>482</v>
      </c>
      <c r="B170" s="70">
        <v>8</v>
      </c>
      <c r="C170" s="50">
        <v>6.0309084055785902E-4</v>
      </c>
      <c r="D170" s="52">
        <v>24</v>
      </c>
      <c r="E170" s="50">
        <v>6.9184202940328625E-4</v>
      </c>
      <c r="F170" s="51">
        <v>87.171755245633875</v>
      </c>
      <c r="G170" s="47">
        <v>-12.828244754366125</v>
      </c>
    </row>
    <row r="171" spans="1:7" ht="30" x14ac:dyDescent="0.3">
      <c r="A171" s="147" t="s">
        <v>480</v>
      </c>
      <c r="B171" s="70">
        <v>46</v>
      </c>
      <c r="C171" s="50">
        <v>3.4677723332076893E-3</v>
      </c>
      <c r="D171" s="52">
        <v>113</v>
      </c>
      <c r="E171" s="50">
        <v>3.2574228884404729E-3</v>
      </c>
      <c r="F171" s="51">
        <v>106.45754180440241</v>
      </c>
      <c r="G171" s="47">
        <v>6.4575418044024104</v>
      </c>
    </row>
    <row r="172" spans="1:7" x14ac:dyDescent="0.3">
      <c r="A172" s="147" t="s">
        <v>481</v>
      </c>
      <c r="B172" s="70">
        <v>0</v>
      </c>
      <c r="C172" s="50">
        <v>0</v>
      </c>
      <c r="D172" s="52">
        <v>34</v>
      </c>
      <c r="E172" s="50">
        <v>9.8010954165465543E-4</v>
      </c>
      <c r="F172" s="51">
        <v>0</v>
      </c>
      <c r="G172" s="47">
        <v>-100</v>
      </c>
    </row>
    <row r="173" spans="1:7" x14ac:dyDescent="0.3">
      <c r="A173" s="147" t="s">
        <v>475</v>
      </c>
      <c r="B173" s="70">
        <v>15</v>
      </c>
      <c r="C173" s="50">
        <v>1.1307953260459858E-3</v>
      </c>
      <c r="D173" s="52">
        <v>74</v>
      </c>
      <c r="E173" s="50">
        <v>2.1331795906601326E-3</v>
      </c>
      <c r="F173" s="51">
        <v>53.009851162885468</v>
      </c>
      <c r="G173" s="47">
        <v>-46.990148837114532</v>
      </c>
    </row>
    <row r="174" spans="1:7" x14ac:dyDescent="0.3">
      <c r="A174" s="73" t="s">
        <v>475</v>
      </c>
      <c r="B174" s="70">
        <v>11527</v>
      </c>
      <c r="C174" s="50">
        <v>0.86897851488880518</v>
      </c>
      <c r="D174" s="52">
        <v>23999</v>
      </c>
      <c r="E174" s="50">
        <v>0.69181320265206114</v>
      </c>
      <c r="F174" s="65">
        <v>125.60883654107526</v>
      </c>
      <c r="G174" s="94">
        <v>25.608836541075263</v>
      </c>
    </row>
    <row r="175" spans="1:7" x14ac:dyDescent="0.3">
      <c r="A175" s="146" t="s">
        <v>488</v>
      </c>
      <c r="B175" s="70">
        <v>0</v>
      </c>
      <c r="C175" s="50">
        <v>0</v>
      </c>
      <c r="D175" s="52">
        <v>564</v>
      </c>
      <c r="E175" s="50">
        <v>1.6258287690977227E-2</v>
      </c>
      <c r="F175" s="51">
        <v>0</v>
      </c>
      <c r="G175" s="47">
        <v>-100</v>
      </c>
    </row>
    <row r="176" spans="1:7" x14ac:dyDescent="0.3">
      <c r="A176" s="146" t="s">
        <v>489</v>
      </c>
      <c r="B176" s="70">
        <v>278</v>
      </c>
      <c r="C176" s="50">
        <v>2.09574067093856E-2</v>
      </c>
      <c r="D176" s="52">
        <v>1419</v>
      </c>
      <c r="E176" s="50">
        <v>4.0905159988469303E-2</v>
      </c>
      <c r="F176" s="51">
        <v>51.234139446693895</v>
      </c>
      <c r="G176" s="47">
        <v>-48.765860553306105</v>
      </c>
    </row>
    <row r="177" spans="1:7" x14ac:dyDescent="0.3">
      <c r="A177" s="146" t="s">
        <v>490</v>
      </c>
      <c r="B177" s="70">
        <v>31</v>
      </c>
      <c r="C177" s="50">
        <v>2.3369770071617036E-3</v>
      </c>
      <c r="D177" s="52">
        <v>42</v>
      </c>
      <c r="E177" s="50">
        <v>1.210723551455751E-3</v>
      </c>
      <c r="F177" s="51">
        <v>193.02317232961784</v>
      </c>
      <c r="G177" s="47">
        <v>93.023172329617836</v>
      </c>
    </row>
    <row r="178" spans="1:7" x14ac:dyDescent="0.3">
      <c r="A178" s="146" t="s">
        <v>491</v>
      </c>
      <c r="B178" s="70">
        <v>0</v>
      </c>
      <c r="C178" s="50">
        <v>0</v>
      </c>
      <c r="D178" s="52">
        <v>0</v>
      </c>
      <c r="E178" s="50">
        <v>0</v>
      </c>
      <c r="F178" s="51">
        <v>100</v>
      </c>
      <c r="G178" s="47">
        <v>0</v>
      </c>
    </row>
    <row r="179" spans="1:7" x14ac:dyDescent="0.3">
      <c r="A179" s="146" t="s">
        <v>394</v>
      </c>
      <c r="B179" s="70">
        <v>10615</v>
      </c>
      <c r="C179" s="50">
        <v>0.80022615906520922</v>
      </c>
      <c r="D179" s="52">
        <v>20582</v>
      </c>
      <c r="E179" s="50">
        <v>0.59331219371576827</v>
      </c>
      <c r="F179" s="51">
        <v>134.87438275178363</v>
      </c>
      <c r="G179" s="47">
        <v>34.874382751783628</v>
      </c>
    </row>
    <row r="180" spans="1:7" x14ac:dyDescent="0.3">
      <c r="A180" s="146" t="s">
        <v>492</v>
      </c>
      <c r="B180" s="70">
        <v>38</v>
      </c>
      <c r="C180" s="50">
        <v>2.8646814926498302E-3</v>
      </c>
      <c r="D180" s="52">
        <v>384</v>
      </c>
      <c r="E180" s="50">
        <v>1.106947247045258E-2</v>
      </c>
      <c r="F180" s="51">
        <v>25.879114838547558</v>
      </c>
      <c r="G180" s="47">
        <v>-74.120885161452435</v>
      </c>
    </row>
    <row r="181" spans="1:7" ht="30" x14ac:dyDescent="0.3">
      <c r="A181" s="146" t="s">
        <v>493</v>
      </c>
      <c r="B181" s="70">
        <v>133</v>
      </c>
      <c r="C181" s="50">
        <v>1.0026385224274407E-2</v>
      </c>
      <c r="D181" s="52">
        <v>246</v>
      </c>
      <c r="E181" s="50">
        <v>7.0913808013836838E-3</v>
      </c>
      <c r="F181" s="51">
        <v>141.38833472767448</v>
      </c>
      <c r="G181" s="47">
        <v>41.388334727674476</v>
      </c>
    </row>
    <row r="182" spans="1:7" x14ac:dyDescent="0.3">
      <c r="A182" s="146" t="s">
        <v>494</v>
      </c>
      <c r="B182" s="70">
        <v>0</v>
      </c>
      <c r="C182" s="50">
        <v>0</v>
      </c>
      <c r="D182" s="52">
        <v>20</v>
      </c>
      <c r="E182" s="50">
        <v>5.7653502450273858E-4</v>
      </c>
      <c r="F182" s="51">
        <v>0</v>
      </c>
      <c r="G182" s="47">
        <v>-100</v>
      </c>
    </row>
    <row r="183" spans="1:7" x14ac:dyDescent="0.3">
      <c r="A183" s="146" t="s">
        <v>495</v>
      </c>
      <c r="B183" s="70">
        <v>43</v>
      </c>
      <c r="C183" s="50">
        <v>3.2416132679984923E-3</v>
      </c>
      <c r="D183" s="52">
        <v>53</v>
      </c>
      <c r="E183" s="50">
        <v>1.5278178149322572E-3</v>
      </c>
      <c r="F183" s="51">
        <v>212.17276276767487</v>
      </c>
      <c r="G183" s="47">
        <v>112.17276276767487</v>
      </c>
    </row>
    <row r="184" spans="1:7" x14ac:dyDescent="0.3">
      <c r="A184" s="146" t="s">
        <v>496</v>
      </c>
      <c r="B184" s="70">
        <v>31</v>
      </c>
      <c r="C184" s="50">
        <v>2.3369770071617036E-3</v>
      </c>
      <c r="D184" s="52">
        <v>77</v>
      </c>
      <c r="E184" s="50">
        <v>2.2196598443355435E-3</v>
      </c>
      <c r="F184" s="65">
        <v>105.28536672524609</v>
      </c>
      <c r="G184" s="94">
        <v>5.2853667252460923</v>
      </c>
    </row>
    <row r="185" spans="1:7" x14ac:dyDescent="0.3">
      <c r="A185" s="146" t="s">
        <v>497</v>
      </c>
      <c r="B185" s="70">
        <v>358</v>
      </c>
      <c r="C185" s="50">
        <v>2.698831511496419E-2</v>
      </c>
      <c r="D185" s="52">
        <v>612</v>
      </c>
      <c r="E185" s="50">
        <v>1.76419717497838E-2</v>
      </c>
      <c r="F185" s="51">
        <v>152.97788420557313</v>
      </c>
      <c r="G185" s="47">
        <v>52.977884205573133</v>
      </c>
    </row>
    <row r="186" spans="1:7" x14ac:dyDescent="0.3">
      <c r="A186" s="73" t="s">
        <v>476</v>
      </c>
      <c r="B186" s="70">
        <v>399</v>
      </c>
      <c r="C186" s="50">
        <v>3.0079155672823221E-2</v>
      </c>
      <c r="D186" s="52">
        <v>972</v>
      </c>
      <c r="E186" s="50">
        <v>2.8019602190833093E-2</v>
      </c>
      <c r="F186" s="51">
        <v>107.35040229323431</v>
      </c>
      <c r="G186" s="47">
        <v>7.3504022932343105</v>
      </c>
    </row>
    <row r="187" spans="1:7" ht="30" x14ac:dyDescent="0.3">
      <c r="A187" s="64" t="s">
        <v>472</v>
      </c>
      <c r="B187" s="229">
        <v>13265</v>
      </c>
      <c r="C187" s="228"/>
      <c r="D187" s="227">
        <v>34690</v>
      </c>
      <c r="E187" s="228"/>
      <c r="F187" s="60"/>
      <c r="G187" s="48"/>
    </row>
    <row r="188" spans="1:7" x14ac:dyDescent="0.3">
      <c r="A188" s="11"/>
      <c r="B188" s="11"/>
      <c r="C188" s="212"/>
      <c r="D188" s="11"/>
      <c r="E188" s="11"/>
      <c r="F188" s="11"/>
    </row>
    <row r="189" spans="1:7" x14ac:dyDescent="0.3">
      <c r="A189" s="11" t="s">
        <v>506</v>
      </c>
      <c r="B189" s="11"/>
      <c r="C189" s="212"/>
      <c r="D189" s="11"/>
      <c r="E189" s="11"/>
      <c r="F189" s="11"/>
      <c r="G189" s="58"/>
    </row>
    <row r="190" spans="1:7" ht="39.950000000000003" customHeight="1" x14ac:dyDescent="0.3">
      <c r="A190" s="252" t="s">
        <v>500</v>
      </c>
      <c r="B190" s="230" t="s">
        <v>888</v>
      </c>
      <c r="C190" s="246" t="s">
        <v>888</v>
      </c>
      <c r="D190" s="230" t="s">
        <v>889</v>
      </c>
      <c r="E190" s="231" t="s">
        <v>889</v>
      </c>
      <c r="F190" s="238" t="s">
        <v>1</v>
      </c>
      <c r="G190" s="239" t="s">
        <v>1</v>
      </c>
    </row>
    <row r="191" spans="1:7" x14ac:dyDescent="0.3">
      <c r="A191" s="242" t="s">
        <v>871</v>
      </c>
      <c r="B191" s="37" t="s">
        <v>74</v>
      </c>
      <c r="C191" s="38" t="s">
        <v>75</v>
      </c>
      <c r="D191" s="36" t="s">
        <v>74</v>
      </c>
      <c r="E191" s="38" t="s">
        <v>75</v>
      </c>
      <c r="F191" s="240" t="s">
        <v>869</v>
      </c>
      <c r="G191" s="241" t="s">
        <v>870</v>
      </c>
    </row>
    <row r="192" spans="1:7" x14ac:dyDescent="0.3">
      <c r="A192" s="73" t="s">
        <v>501</v>
      </c>
      <c r="B192" s="70">
        <v>79080</v>
      </c>
      <c r="C192" s="50">
        <v>0.53146232786951353</v>
      </c>
      <c r="D192" s="70">
        <v>418583</v>
      </c>
      <c r="E192" s="50">
        <v>0.64578402846131777</v>
      </c>
      <c r="F192" s="51">
        <v>82.297223908712368</v>
      </c>
      <c r="G192" s="47">
        <v>-17.702776091287632</v>
      </c>
    </row>
    <row r="193" spans="1:7" x14ac:dyDescent="0.3">
      <c r="A193" s="73" t="s">
        <v>502</v>
      </c>
      <c r="B193" s="70">
        <v>1427</v>
      </c>
      <c r="C193" s="50">
        <v>9.5902471151972143E-3</v>
      </c>
      <c r="D193" s="70">
        <v>6030</v>
      </c>
      <c r="E193" s="50">
        <v>9.3030001018238814E-3</v>
      </c>
      <c r="F193" s="51">
        <v>103.08768150305639</v>
      </c>
      <c r="G193" s="47">
        <v>3.0876815030563876</v>
      </c>
    </row>
    <row r="194" spans="1:7" x14ac:dyDescent="0.3">
      <c r="A194" s="81" t="s">
        <v>503</v>
      </c>
      <c r="B194" s="70">
        <v>25420</v>
      </c>
      <c r="C194" s="50">
        <v>0.17083677762320476</v>
      </c>
      <c r="D194" s="70">
        <v>94750</v>
      </c>
      <c r="E194" s="50">
        <v>0.14617898169947144</v>
      </c>
      <c r="F194" s="51">
        <v>116.86822252902755</v>
      </c>
      <c r="G194" s="47">
        <v>16.868222529027548</v>
      </c>
    </row>
    <row r="195" spans="1:7" x14ac:dyDescent="0.3">
      <c r="A195" s="81" t="s">
        <v>504</v>
      </c>
      <c r="B195" s="70">
        <v>42539</v>
      </c>
      <c r="C195" s="50">
        <v>0.28588614017755737</v>
      </c>
      <c r="D195" s="70">
        <v>127956</v>
      </c>
      <c r="E195" s="50">
        <v>0.19740873648905086</v>
      </c>
      <c r="F195" s="51">
        <v>144.81939617369156</v>
      </c>
      <c r="G195" s="47">
        <v>44.819396173691558</v>
      </c>
    </row>
    <row r="196" spans="1:7" x14ac:dyDescent="0.3">
      <c r="A196" s="81" t="s">
        <v>505</v>
      </c>
      <c r="B196" s="70">
        <v>331</v>
      </c>
      <c r="C196" s="50">
        <v>2.2245072145271748E-3</v>
      </c>
      <c r="D196" s="70">
        <v>859</v>
      </c>
      <c r="E196" s="50">
        <v>1.3252532483361051E-3</v>
      </c>
      <c r="F196" s="51">
        <v>167.85525463303784</v>
      </c>
      <c r="G196" s="47">
        <v>67.855254633037845</v>
      </c>
    </row>
    <row r="197" spans="1:7" x14ac:dyDescent="0.3">
      <c r="A197" s="64" t="s">
        <v>209</v>
      </c>
      <c r="B197" s="229">
        <v>148797</v>
      </c>
      <c r="C197" s="228"/>
      <c r="D197" s="227">
        <v>648178</v>
      </c>
      <c r="E197" s="228"/>
      <c r="F197" s="60"/>
      <c r="G197" s="48"/>
    </row>
    <row r="198" spans="1:7" x14ac:dyDescent="0.3">
      <c r="A198" s="14"/>
      <c r="B198" s="2"/>
      <c r="C198" s="214"/>
    </row>
    <row r="199" spans="1:7" x14ac:dyDescent="0.3">
      <c r="A199" s="253" t="s">
        <v>498</v>
      </c>
      <c r="B199" s="11"/>
      <c r="C199" s="212"/>
      <c r="D199" s="11"/>
      <c r="E199" s="11"/>
      <c r="F199" s="11"/>
      <c r="G199" s="58"/>
    </row>
    <row r="200" spans="1:7" ht="39.950000000000003" customHeight="1" x14ac:dyDescent="0.3">
      <c r="A200" s="252" t="s">
        <v>498</v>
      </c>
      <c r="B200" s="230" t="s">
        <v>888</v>
      </c>
      <c r="C200" s="246" t="s">
        <v>888</v>
      </c>
      <c r="D200" s="230" t="s">
        <v>889</v>
      </c>
      <c r="E200" s="231" t="s">
        <v>889</v>
      </c>
      <c r="F200" s="238" t="s">
        <v>1</v>
      </c>
      <c r="G200" s="239" t="s">
        <v>1</v>
      </c>
    </row>
    <row r="201" spans="1:7" x14ac:dyDescent="0.3">
      <c r="A201" s="242" t="s">
        <v>871</v>
      </c>
      <c r="B201" s="37" t="s">
        <v>74</v>
      </c>
      <c r="C201" s="38" t="s">
        <v>75</v>
      </c>
      <c r="D201" s="36" t="s">
        <v>74</v>
      </c>
      <c r="E201" s="38" t="s">
        <v>75</v>
      </c>
      <c r="F201" s="240" t="s">
        <v>869</v>
      </c>
      <c r="G201" s="241" t="s">
        <v>870</v>
      </c>
    </row>
    <row r="202" spans="1:7" x14ac:dyDescent="0.3">
      <c r="A202" s="73" t="s">
        <v>392</v>
      </c>
      <c r="B202" s="70">
        <v>40485</v>
      </c>
      <c r="C202" s="50">
        <v>0.27207478444365291</v>
      </c>
      <c r="D202" s="70">
        <v>122121</v>
      </c>
      <c r="E202" s="50">
        <v>0.18838885040856845</v>
      </c>
      <c r="F202" s="51">
        <v>144.42191448888323</v>
      </c>
      <c r="G202" s="47">
        <v>44.421914488883232</v>
      </c>
    </row>
    <row r="203" spans="1:7" x14ac:dyDescent="0.3">
      <c r="A203" s="73" t="s">
        <v>390</v>
      </c>
      <c r="B203" s="70">
        <v>68435</v>
      </c>
      <c r="C203" s="50">
        <v>0.45990954361865849</v>
      </c>
      <c r="D203" s="70">
        <v>272231</v>
      </c>
      <c r="E203" s="44">
        <v>0.41995467721010304</v>
      </c>
      <c r="F203" s="51">
        <v>109.51409010943485</v>
      </c>
      <c r="G203" s="47">
        <v>9.5140901094348465</v>
      </c>
    </row>
    <row r="204" spans="1:7" x14ac:dyDescent="0.3">
      <c r="A204" s="81" t="s">
        <v>391</v>
      </c>
      <c r="B204" s="70">
        <v>30828</v>
      </c>
      <c r="C204" s="50">
        <v>0.207176027042829</v>
      </c>
      <c r="D204" s="70">
        <v>186148</v>
      </c>
      <c r="E204" s="44">
        <v>0.28715951986844357</v>
      </c>
      <c r="F204" s="51">
        <v>72.14666856169093</v>
      </c>
      <c r="G204" s="47">
        <v>-27.85333143830907</v>
      </c>
    </row>
    <row r="205" spans="1:7" x14ac:dyDescent="0.3">
      <c r="A205" s="81" t="s">
        <v>499</v>
      </c>
      <c r="B205" s="70">
        <v>9053</v>
      </c>
      <c r="C205" s="50">
        <v>6.0839644894859581E-2</v>
      </c>
      <c r="D205" s="70">
        <v>67739</v>
      </c>
      <c r="E205" s="44">
        <v>0.10449695251288491</v>
      </c>
      <c r="F205" s="51">
        <v>58.221453766661568</v>
      </c>
      <c r="G205" s="47">
        <v>-41.778546233338432</v>
      </c>
    </row>
    <row r="206" spans="1:7" x14ac:dyDescent="0.3">
      <c r="A206" s="64" t="s">
        <v>209</v>
      </c>
      <c r="B206" s="229">
        <v>148801</v>
      </c>
      <c r="C206" s="228"/>
      <c r="D206" s="227">
        <v>648239</v>
      </c>
      <c r="E206" s="228"/>
      <c r="F206" s="60"/>
      <c r="G206" s="48"/>
    </row>
    <row r="207" spans="1:7" x14ac:dyDescent="0.3">
      <c r="A207" s="14"/>
      <c r="B207" s="2"/>
      <c r="C207" s="214"/>
    </row>
    <row r="208" spans="1:7" x14ac:dyDescent="0.3">
      <c r="A208" s="11"/>
      <c r="B208" s="11"/>
      <c r="C208" s="212"/>
      <c r="D208" s="11"/>
      <c r="E208" s="11"/>
      <c r="F208" s="11"/>
    </row>
    <row r="209" spans="1:7" ht="16.5" x14ac:dyDescent="0.3">
      <c r="A209" s="17" t="s">
        <v>462</v>
      </c>
      <c r="B209" s="9"/>
      <c r="C209" s="213"/>
      <c r="D209" s="9"/>
      <c r="E209" s="9"/>
      <c r="F209" s="9"/>
    </row>
    <row r="210" spans="1:7" x14ac:dyDescent="0.3">
      <c r="A210" s="11" t="s">
        <v>228</v>
      </c>
      <c r="B210" s="11"/>
      <c r="C210" s="212"/>
      <c r="D210" s="11"/>
      <c r="E210" s="11"/>
      <c r="F210" s="11"/>
      <c r="G210" s="58"/>
    </row>
    <row r="211" spans="1:7" ht="39.950000000000003" customHeight="1" x14ac:dyDescent="0.3">
      <c r="A211" s="252" t="s">
        <v>228</v>
      </c>
      <c r="B211" s="230" t="s">
        <v>888</v>
      </c>
      <c r="C211" s="246" t="s">
        <v>888</v>
      </c>
      <c r="D211" s="230" t="s">
        <v>889</v>
      </c>
      <c r="E211" s="231" t="s">
        <v>889</v>
      </c>
      <c r="F211" s="238" t="s">
        <v>1</v>
      </c>
      <c r="G211" s="239" t="s">
        <v>1</v>
      </c>
    </row>
    <row r="212" spans="1:7" x14ac:dyDescent="0.3">
      <c r="A212" s="242" t="s">
        <v>871</v>
      </c>
      <c r="B212" s="37" t="s">
        <v>74</v>
      </c>
      <c r="C212" s="38" t="s">
        <v>75</v>
      </c>
      <c r="D212" s="36" t="s">
        <v>74</v>
      </c>
      <c r="E212" s="38" t="s">
        <v>75</v>
      </c>
      <c r="F212" s="240" t="s">
        <v>869</v>
      </c>
      <c r="G212" s="241" t="s">
        <v>870</v>
      </c>
    </row>
    <row r="213" spans="1:7" x14ac:dyDescent="0.3">
      <c r="A213" s="73" t="s">
        <v>229</v>
      </c>
      <c r="B213" s="70">
        <v>191400</v>
      </c>
      <c r="C213" s="50">
        <v>0.5207568114664447</v>
      </c>
      <c r="D213" s="52">
        <v>773205</v>
      </c>
      <c r="E213" s="50">
        <v>0.4949912231171954</v>
      </c>
      <c r="F213" s="51">
        <v>105.20526165837671</v>
      </c>
      <c r="G213" s="47">
        <v>5.2052616583767133</v>
      </c>
    </row>
    <row r="214" spans="1:7" x14ac:dyDescent="0.3">
      <c r="A214" s="73" t="s">
        <v>230</v>
      </c>
      <c r="B214" s="70">
        <v>119102</v>
      </c>
      <c r="C214" s="50">
        <v>0.32405004053958458</v>
      </c>
      <c r="D214" s="52">
        <v>522692</v>
      </c>
      <c r="E214" s="44">
        <v>0.33461753660875587</v>
      </c>
      <c r="F214" s="51">
        <v>96.841918036851993</v>
      </c>
      <c r="G214" s="47">
        <v>-3.1580819631480068</v>
      </c>
    </row>
    <row r="215" spans="1:7" x14ac:dyDescent="0.3">
      <c r="A215" s="81" t="s">
        <v>231</v>
      </c>
      <c r="B215" s="70">
        <v>40163</v>
      </c>
      <c r="C215" s="50">
        <v>0.10927458630578274</v>
      </c>
      <c r="D215" s="52">
        <v>190283</v>
      </c>
      <c r="E215" s="44">
        <v>0.12181557919104156</v>
      </c>
      <c r="F215" s="51">
        <v>89.704935141677595</v>
      </c>
      <c r="G215" s="47">
        <v>-10.295064858322405</v>
      </c>
    </row>
    <row r="216" spans="1:7" x14ac:dyDescent="0.3">
      <c r="A216" s="81" t="s">
        <v>232</v>
      </c>
      <c r="B216" s="70">
        <v>13049</v>
      </c>
      <c r="C216" s="50">
        <v>3.5503425458859122E-2</v>
      </c>
      <c r="D216" s="52">
        <v>58850</v>
      </c>
      <c r="E216" s="44">
        <v>3.7674657407087316E-2</v>
      </c>
      <c r="F216" s="51">
        <v>94.236890000704449</v>
      </c>
      <c r="G216" s="47">
        <v>-5.7631099992955512</v>
      </c>
    </row>
    <row r="217" spans="1:7" x14ac:dyDescent="0.3">
      <c r="A217" s="74" t="s">
        <v>233</v>
      </c>
      <c r="B217" s="72">
        <v>3828</v>
      </c>
      <c r="C217" s="50">
        <v>1.0415136229328893E-2</v>
      </c>
      <c r="D217" s="57">
        <v>17011</v>
      </c>
      <c r="E217" s="55">
        <v>1.0890120597314569E-2</v>
      </c>
      <c r="F217" s="51">
        <v>95.638392029351778</v>
      </c>
      <c r="G217" s="47">
        <v>-4.3616079706482225</v>
      </c>
    </row>
    <row r="218" spans="1:7" x14ac:dyDescent="0.3">
      <c r="A218" s="64" t="s">
        <v>2</v>
      </c>
      <c r="B218" s="229">
        <v>367542</v>
      </c>
      <c r="C218" s="228"/>
      <c r="D218" s="227">
        <v>1562041</v>
      </c>
      <c r="E218" s="228"/>
      <c r="F218" s="60"/>
      <c r="G218" s="48"/>
    </row>
    <row r="219" spans="1:7" x14ac:dyDescent="0.3">
      <c r="A219" s="14"/>
      <c r="B219" s="2"/>
      <c r="C219" s="214"/>
    </row>
    <row r="220" spans="1:7" x14ac:dyDescent="0.3">
      <c r="A220" s="11" t="s">
        <v>467</v>
      </c>
      <c r="B220" s="11"/>
      <c r="C220" s="212"/>
      <c r="D220" s="11"/>
      <c r="E220" s="11"/>
      <c r="F220" s="11"/>
    </row>
    <row r="221" spans="1:7" ht="39.950000000000003" customHeight="1" x14ac:dyDescent="0.3">
      <c r="A221" s="252" t="s">
        <v>375</v>
      </c>
      <c r="B221" s="230" t="s">
        <v>888</v>
      </c>
      <c r="C221" s="246" t="s">
        <v>888</v>
      </c>
      <c r="D221" s="230" t="s">
        <v>889</v>
      </c>
      <c r="E221" s="231" t="s">
        <v>889</v>
      </c>
      <c r="F221" s="238" t="s">
        <v>1</v>
      </c>
      <c r="G221" s="239" t="s">
        <v>1</v>
      </c>
    </row>
    <row r="222" spans="1:7" x14ac:dyDescent="0.3">
      <c r="A222" s="242" t="s">
        <v>871</v>
      </c>
      <c r="B222" s="37" t="s">
        <v>74</v>
      </c>
      <c r="C222" s="38" t="s">
        <v>75</v>
      </c>
      <c r="D222" s="36" t="s">
        <v>74</v>
      </c>
      <c r="E222" s="38" t="s">
        <v>75</v>
      </c>
      <c r="F222" s="240" t="s">
        <v>869</v>
      </c>
      <c r="G222" s="241" t="s">
        <v>870</v>
      </c>
    </row>
    <row r="223" spans="1:7" ht="30" x14ac:dyDescent="0.3">
      <c r="A223" s="73" t="s">
        <v>376</v>
      </c>
      <c r="B223" s="70">
        <v>102699</v>
      </c>
      <c r="C223" s="50">
        <v>0.69038559789184972</v>
      </c>
      <c r="D223" s="52">
        <v>439571</v>
      </c>
      <c r="E223" s="50">
        <v>0.67806150466776494</v>
      </c>
      <c r="F223" s="51">
        <v>101.81754798631775</v>
      </c>
      <c r="G223" s="47">
        <v>1.8175479863177486</v>
      </c>
    </row>
    <row r="224" spans="1:7" ht="30" x14ac:dyDescent="0.3">
      <c r="A224" s="73" t="s">
        <v>377</v>
      </c>
      <c r="B224" s="70">
        <v>36801</v>
      </c>
      <c r="C224" s="44">
        <v>0.24739170184732046</v>
      </c>
      <c r="D224" s="52">
        <v>166138</v>
      </c>
      <c r="E224" s="44">
        <v>0.25627664760071328</v>
      </c>
      <c r="F224" s="51">
        <v>96.533064625054777</v>
      </c>
      <c r="G224" s="47">
        <v>-3.4669353749452227</v>
      </c>
    </row>
    <row r="225" spans="1:7" ht="30" x14ac:dyDescent="0.3">
      <c r="A225" s="81" t="s">
        <v>378</v>
      </c>
      <c r="B225" s="82">
        <v>9256</v>
      </c>
      <c r="C225" s="44">
        <v>6.2222700260829815E-2</v>
      </c>
      <c r="D225" s="52">
        <v>42567</v>
      </c>
      <c r="E225" s="44">
        <v>6.5661847731521755E-2</v>
      </c>
      <c r="F225" s="51">
        <v>94.762335222801013</v>
      </c>
      <c r="G225" s="47">
        <v>-5.2376647771989866</v>
      </c>
    </row>
    <row r="226" spans="1:7" x14ac:dyDescent="0.3">
      <c r="A226" s="64" t="s">
        <v>209</v>
      </c>
      <c r="B226" s="229">
        <v>148756</v>
      </c>
      <c r="C226" s="228"/>
      <c r="D226" s="227">
        <v>648276</v>
      </c>
      <c r="E226" s="228"/>
      <c r="F226" s="60"/>
      <c r="G226" s="48"/>
    </row>
    <row r="227" spans="1:7" x14ac:dyDescent="0.3">
      <c r="A227" s="14"/>
      <c r="B227" s="2"/>
      <c r="C227" s="214"/>
    </row>
    <row r="228" spans="1:7" x14ac:dyDescent="0.3">
      <c r="A228" s="11" t="s">
        <v>468</v>
      </c>
      <c r="B228" s="2"/>
      <c r="C228" s="214"/>
    </row>
    <row r="229" spans="1:7" ht="39.950000000000003" customHeight="1" x14ac:dyDescent="0.3">
      <c r="A229" s="252" t="s">
        <v>234</v>
      </c>
      <c r="B229" s="230" t="s">
        <v>888</v>
      </c>
      <c r="C229" s="246" t="s">
        <v>888</v>
      </c>
      <c r="D229" s="230" t="s">
        <v>889</v>
      </c>
      <c r="E229" s="231" t="s">
        <v>889</v>
      </c>
      <c r="F229" s="238" t="s">
        <v>1</v>
      </c>
      <c r="G229" s="239" t="s">
        <v>1</v>
      </c>
    </row>
    <row r="230" spans="1:7" x14ac:dyDescent="0.3">
      <c r="A230" s="242" t="s">
        <v>871</v>
      </c>
      <c r="B230" s="37" t="s">
        <v>74</v>
      </c>
      <c r="C230" s="38" t="s">
        <v>75</v>
      </c>
      <c r="D230" s="36" t="s">
        <v>74</v>
      </c>
      <c r="E230" s="38" t="s">
        <v>75</v>
      </c>
      <c r="F230" s="240" t="s">
        <v>869</v>
      </c>
      <c r="G230" s="241" t="s">
        <v>870</v>
      </c>
    </row>
    <row r="231" spans="1:7" x14ac:dyDescent="0.3">
      <c r="A231" s="73" t="s">
        <v>235</v>
      </c>
      <c r="B231" s="70">
        <v>323115</v>
      </c>
      <c r="C231" s="50">
        <v>0.9284700351716052</v>
      </c>
      <c r="D231" s="52">
        <v>1353430</v>
      </c>
      <c r="E231" s="50">
        <v>0.91494833164553202</v>
      </c>
      <c r="F231" s="51">
        <v>101.47786525844083</v>
      </c>
      <c r="G231" s="47">
        <v>1.4778652584408292</v>
      </c>
    </row>
    <row r="232" spans="1:7" x14ac:dyDescent="0.3">
      <c r="A232" s="73" t="s">
        <v>236</v>
      </c>
      <c r="B232" s="70">
        <v>13513</v>
      </c>
      <c r="C232" s="44">
        <v>3.8829567136387667E-2</v>
      </c>
      <c r="D232" s="52">
        <v>66911</v>
      </c>
      <c r="E232" s="44">
        <v>4.5233301920848651E-2</v>
      </c>
      <c r="F232" s="51">
        <v>85.842875685558965</v>
      </c>
      <c r="G232" s="47">
        <v>-14.157124314441035</v>
      </c>
    </row>
    <row r="233" spans="1:7" x14ac:dyDescent="0.3">
      <c r="A233" s="108" t="s">
        <v>237</v>
      </c>
      <c r="B233" s="82">
        <v>10200</v>
      </c>
      <c r="C233" s="44">
        <v>2.9309671042045009E-2</v>
      </c>
      <c r="D233" s="52">
        <v>49817</v>
      </c>
      <c r="E233" s="44">
        <v>3.3677383416641768E-2</v>
      </c>
      <c r="F233" s="51">
        <v>87.030725277669745</v>
      </c>
      <c r="G233" s="47">
        <v>-12.969274722330255</v>
      </c>
    </row>
    <row r="234" spans="1:7" x14ac:dyDescent="0.3">
      <c r="A234" s="108" t="s">
        <v>238</v>
      </c>
      <c r="B234" s="82">
        <v>3313</v>
      </c>
      <c r="C234" s="44">
        <v>9.5198960943426586E-3</v>
      </c>
      <c r="D234" s="52">
        <v>17094</v>
      </c>
      <c r="E234" s="44">
        <v>1.1555918504206885E-2</v>
      </c>
      <c r="F234" s="51">
        <v>82.381128690696286</v>
      </c>
      <c r="G234" s="47">
        <v>-17.618871309303714</v>
      </c>
    </row>
    <row r="235" spans="1:7" x14ac:dyDescent="0.3">
      <c r="A235" s="81" t="s">
        <v>239</v>
      </c>
      <c r="B235" s="82">
        <v>4881</v>
      </c>
      <c r="C235" s="44">
        <v>1.4025539642766833E-2</v>
      </c>
      <c r="D235" s="52">
        <v>23726</v>
      </c>
      <c r="E235" s="44">
        <v>1.6039295801498335E-2</v>
      </c>
      <c r="F235" s="51">
        <v>87.444859277778363</v>
      </c>
      <c r="G235" s="47">
        <v>-12.555140722221637</v>
      </c>
    </row>
    <row r="236" spans="1:7" x14ac:dyDescent="0.3">
      <c r="A236" s="108" t="s">
        <v>240</v>
      </c>
      <c r="B236" s="82">
        <v>2229</v>
      </c>
      <c r="C236" s="44">
        <v>6.4050251718351303E-3</v>
      </c>
      <c r="D236" s="52">
        <v>11435</v>
      </c>
      <c r="E236" s="44">
        <v>7.7303105239034586E-3</v>
      </c>
      <c r="F236" s="51">
        <v>82.855988152476982</v>
      </c>
      <c r="G236" s="47">
        <v>-17.144011847523018</v>
      </c>
    </row>
    <row r="237" spans="1:7" x14ac:dyDescent="0.3">
      <c r="A237" s="108" t="s">
        <v>241</v>
      </c>
      <c r="B237" s="82">
        <v>2652</v>
      </c>
      <c r="C237" s="44">
        <v>7.6205144709317026E-3</v>
      </c>
      <c r="D237" s="52">
        <v>12291</v>
      </c>
      <c r="E237" s="44">
        <v>8.3089852775948755E-3</v>
      </c>
      <c r="F237" s="51">
        <v>91.71414097315072</v>
      </c>
      <c r="G237" s="47">
        <v>-8.2858590268492804</v>
      </c>
    </row>
    <row r="238" spans="1:7" x14ac:dyDescent="0.3">
      <c r="A238" s="74" t="s">
        <v>242</v>
      </c>
      <c r="B238" s="72">
        <v>6499</v>
      </c>
      <c r="C238" s="55">
        <v>1.8674858049240246E-2</v>
      </c>
      <c r="D238" s="57">
        <v>35175</v>
      </c>
      <c r="E238" s="55">
        <v>2.3779070632121046E-2</v>
      </c>
      <c r="F238" s="51">
        <v>78.534852510232383</v>
      </c>
      <c r="G238" s="47">
        <v>-21.465147489767617</v>
      </c>
    </row>
    <row r="239" spans="1:7" x14ac:dyDescent="0.3">
      <c r="A239" s="64" t="s">
        <v>2</v>
      </c>
      <c r="B239" s="229">
        <v>348008</v>
      </c>
      <c r="C239" s="228"/>
      <c r="D239" s="227">
        <v>1479242</v>
      </c>
      <c r="E239" s="228"/>
      <c r="F239" s="60"/>
      <c r="G239" s="48"/>
    </row>
    <row r="240" spans="1:7" x14ac:dyDescent="0.3">
      <c r="A240" s="14"/>
      <c r="B240" s="2"/>
      <c r="C240" s="214"/>
    </row>
    <row r="241" spans="1:7" x14ac:dyDescent="0.3">
      <c r="A241" s="59"/>
      <c r="B241" s="59"/>
      <c r="C241" s="219"/>
      <c r="D241" s="59"/>
      <c r="E241" s="59"/>
      <c r="F241" s="59"/>
      <c r="G241" s="59"/>
    </row>
    <row r="242" spans="1:7" ht="16.5" x14ac:dyDescent="0.3">
      <c r="A242" s="84" t="s">
        <v>830</v>
      </c>
      <c r="B242" s="85"/>
      <c r="C242" s="216"/>
      <c r="D242" s="85"/>
      <c r="E242" s="85"/>
      <c r="F242" s="85"/>
      <c r="G242" s="86"/>
    </row>
    <row r="243" spans="1:7" x14ac:dyDescent="0.3">
      <c r="A243" s="144" t="s">
        <v>469</v>
      </c>
      <c r="B243" s="85"/>
      <c r="C243" s="216"/>
      <c r="D243" s="85"/>
      <c r="E243" s="85"/>
      <c r="F243" s="85"/>
      <c r="G243" s="86"/>
    </row>
    <row r="244" spans="1:7" ht="39.950000000000003" customHeight="1" x14ac:dyDescent="0.3">
      <c r="A244" s="247" t="s">
        <v>319</v>
      </c>
      <c r="B244" s="230" t="s">
        <v>888</v>
      </c>
      <c r="C244" s="246" t="s">
        <v>888</v>
      </c>
      <c r="D244" s="230" t="s">
        <v>889</v>
      </c>
      <c r="E244" s="231" t="s">
        <v>889</v>
      </c>
      <c r="F244" s="238" t="s">
        <v>1</v>
      </c>
      <c r="G244" s="239" t="s">
        <v>1</v>
      </c>
    </row>
    <row r="245" spans="1:7" x14ac:dyDescent="0.3">
      <c r="A245" s="242" t="s">
        <v>871</v>
      </c>
      <c r="B245" s="37" t="s">
        <v>74</v>
      </c>
      <c r="C245" s="38" t="s">
        <v>75</v>
      </c>
      <c r="D245" s="36" t="s">
        <v>74</v>
      </c>
      <c r="E245" s="38" t="s">
        <v>75</v>
      </c>
      <c r="F245" s="240" t="s">
        <v>869</v>
      </c>
      <c r="G245" s="241" t="s">
        <v>870</v>
      </c>
    </row>
    <row r="246" spans="1:7" x14ac:dyDescent="0.3">
      <c r="A246" s="87" t="s">
        <v>895</v>
      </c>
      <c r="B246" s="52">
        <v>321176</v>
      </c>
      <c r="C246" s="217">
        <v>0.90266914366496442</v>
      </c>
      <c r="D246" s="43">
        <v>1418354</v>
      </c>
      <c r="E246" s="44">
        <v>0.93729241643460481</v>
      </c>
      <c r="F246" s="51">
        <v>96.306032977270334</v>
      </c>
      <c r="G246" s="47">
        <v>-3.6939670227296659</v>
      </c>
    </row>
    <row r="247" spans="1:7" x14ac:dyDescent="0.3">
      <c r="A247" s="87" t="s">
        <v>896</v>
      </c>
      <c r="B247" s="52">
        <v>34631</v>
      </c>
      <c r="C247" s="217">
        <v>9.7330856335035562E-2</v>
      </c>
      <c r="D247" s="43">
        <v>94892</v>
      </c>
      <c r="E247" s="44">
        <v>6.2707583565395186E-2</v>
      </c>
      <c r="F247" s="51">
        <v>155.21385261725669</v>
      </c>
      <c r="G247" s="47">
        <v>55.213852617256691</v>
      </c>
    </row>
    <row r="248" spans="1:7" x14ac:dyDescent="0.3">
      <c r="A248" s="110" t="s">
        <v>897</v>
      </c>
      <c r="B248" s="52">
        <v>17419</v>
      </c>
      <c r="C248" s="217">
        <v>4.8956316205133681E-2</v>
      </c>
      <c r="D248" s="43">
        <v>47105</v>
      </c>
      <c r="E248" s="44">
        <v>3.1128448381822917E-2</v>
      </c>
      <c r="F248" s="51">
        <v>157.27194495733727</v>
      </c>
      <c r="G248" s="47">
        <v>57.271944957337269</v>
      </c>
    </row>
    <row r="249" spans="1:7" x14ac:dyDescent="0.3">
      <c r="A249" s="110" t="s">
        <v>898</v>
      </c>
      <c r="B249" s="52">
        <v>11986</v>
      </c>
      <c r="C249" s="217">
        <v>3.3686802114629558E-2</v>
      </c>
      <c r="D249" s="43">
        <v>33302</v>
      </c>
      <c r="E249" s="44">
        <v>2.2006996879555603E-2</v>
      </c>
      <c r="F249" s="51">
        <v>153.07314441401334</v>
      </c>
      <c r="G249" s="47">
        <v>53.073144414013342</v>
      </c>
    </row>
    <row r="250" spans="1:7" x14ac:dyDescent="0.3">
      <c r="A250" s="110" t="s">
        <v>899</v>
      </c>
      <c r="B250" s="52">
        <v>4508</v>
      </c>
      <c r="C250" s="217">
        <v>1.2669790082825802E-2</v>
      </c>
      <c r="D250" s="43">
        <v>12438</v>
      </c>
      <c r="E250" s="44">
        <v>8.2194170676809977E-3</v>
      </c>
      <c r="F250" s="51">
        <v>154.14463067756725</v>
      </c>
      <c r="G250" s="47">
        <v>54.14463067756725</v>
      </c>
    </row>
    <row r="251" spans="1:7" x14ac:dyDescent="0.3">
      <c r="A251" s="110" t="s">
        <v>900</v>
      </c>
      <c r="B251" s="52">
        <v>718</v>
      </c>
      <c r="C251" s="217">
        <v>2.0179479324465232E-3</v>
      </c>
      <c r="D251" s="89">
        <v>2047</v>
      </c>
      <c r="E251" s="55">
        <v>1.3527212363356651E-3</v>
      </c>
      <c r="F251" s="51">
        <v>149.17692413204551</v>
      </c>
      <c r="G251" s="47">
        <v>49.176924132045514</v>
      </c>
    </row>
    <row r="252" spans="1:7" x14ac:dyDescent="0.3">
      <c r="A252" s="64" t="s">
        <v>261</v>
      </c>
      <c r="B252" s="229">
        <v>355807</v>
      </c>
      <c r="C252" s="228"/>
      <c r="D252" s="227">
        <v>1513246</v>
      </c>
      <c r="E252" s="228"/>
      <c r="F252" s="60"/>
      <c r="G252" s="48"/>
    </row>
    <row r="253" spans="1:7" ht="15" customHeight="1" x14ac:dyDescent="0.3">
      <c r="A253" s="91"/>
      <c r="B253" s="92"/>
      <c r="C253" s="220"/>
      <c r="D253" s="92"/>
      <c r="E253" s="92"/>
      <c r="F253" s="92"/>
      <c r="G253" s="86"/>
    </row>
    <row r="254" spans="1:7" ht="16.5" customHeight="1" x14ac:dyDescent="0.3">
      <c r="A254" s="144" t="s">
        <v>308</v>
      </c>
      <c r="B254" s="85"/>
      <c r="C254" s="216"/>
      <c r="D254" s="85"/>
      <c r="E254" s="85"/>
      <c r="F254" s="85"/>
      <c r="G254" s="166" t="s">
        <v>901</v>
      </c>
    </row>
    <row r="255" spans="1:7" ht="39.950000000000003" customHeight="1" x14ac:dyDescent="0.3">
      <c r="A255" s="252" t="s">
        <v>309</v>
      </c>
      <c r="B255" s="230" t="s">
        <v>888</v>
      </c>
      <c r="C255" s="246" t="s">
        <v>888</v>
      </c>
      <c r="D255" s="230" t="s">
        <v>889</v>
      </c>
      <c r="E255" s="231" t="s">
        <v>889</v>
      </c>
      <c r="F255" s="238" t="s">
        <v>1</v>
      </c>
      <c r="G255" s="239" t="s">
        <v>1</v>
      </c>
    </row>
    <row r="256" spans="1:7" ht="15" customHeight="1" x14ac:dyDescent="0.3">
      <c r="A256" s="242" t="s">
        <v>871</v>
      </c>
      <c r="B256" s="37" t="s">
        <v>74</v>
      </c>
      <c r="C256" s="38" t="s">
        <v>75</v>
      </c>
      <c r="D256" s="36" t="s">
        <v>74</v>
      </c>
      <c r="E256" s="38" t="s">
        <v>75</v>
      </c>
      <c r="F256" s="240" t="s">
        <v>869</v>
      </c>
      <c r="G256" s="241" t="s">
        <v>870</v>
      </c>
    </row>
    <row r="257" spans="1:7" x14ac:dyDescent="0.3">
      <c r="A257" s="87" t="s">
        <v>310</v>
      </c>
      <c r="B257" s="52">
        <v>0</v>
      </c>
      <c r="C257" s="217">
        <v>0</v>
      </c>
      <c r="D257" s="43">
        <v>4210</v>
      </c>
      <c r="E257" s="44">
        <v>2.3648231157246694E-2</v>
      </c>
      <c r="F257" s="51">
        <v>0</v>
      </c>
      <c r="G257" s="47">
        <v>-100</v>
      </c>
    </row>
    <row r="258" spans="1:7" x14ac:dyDescent="0.3">
      <c r="A258" s="87" t="s">
        <v>311</v>
      </c>
      <c r="B258" s="52">
        <v>0</v>
      </c>
      <c r="C258" s="217">
        <v>0</v>
      </c>
      <c r="D258" s="43">
        <v>10253</v>
      </c>
      <c r="E258" s="44">
        <v>5.7592711177019085E-2</v>
      </c>
      <c r="F258" s="51">
        <v>0</v>
      </c>
      <c r="G258" s="47">
        <v>-100</v>
      </c>
    </row>
    <row r="259" spans="1:7" x14ac:dyDescent="0.3">
      <c r="A259" s="87" t="s">
        <v>312</v>
      </c>
      <c r="B259" s="52">
        <v>0</v>
      </c>
      <c r="C259" s="217">
        <v>0</v>
      </c>
      <c r="D259" s="43">
        <v>2088</v>
      </c>
      <c r="E259" s="44">
        <v>1.1728623908867244E-2</v>
      </c>
      <c r="F259" s="51">
        <v>0</v>
      </c>
      <c r="G259" s="47">
        <v>-100</v>
      </c>
    </row>
    <row r="260" spans="1:7" x14ac:dyDescent="0.3">
      <c r="A260" s="87" t="s">
        <v>313</v>
      </c>
      <c r="B260" s="52">
        <v>0</v>
      </c>
      <c r="C260" s="217">
        <v>0</v>
      </c>
      <c r="D260" s="43">
        <v>910</v>
      </c>
      <c r="E260" s="44">
        <v>5.1116129104737508E-3</v>
      </c>
      <c r="F260" s="51">
        <v>0</v>
      </c>
      <c r="G260" s="47">
        <v>-100</v>
      </c>
    </row>
    <row r="261" spans="1:7" x14ac:dyDescent="0.3">
      <c r="A261" s="87" t="s">
        <v>314</v>
      </c>
      <c r="B261" s="52">
        <v>0</v>
      </c>
      <c r="C261" s="217">
        <v>0</v>
      </c>
      <c r="D261" s="43">
        <v>1360</v>
      </c>
      <c r="E261" s="44">
        <v>7.6393335804882433E-3</v>
      </c>
      <c r="F261" s="51">
        <v>0</v>
      </c>
      <c r="G261" s="47">
        <v>-100</v>
      </c>
    </row>
    <row r="262" spans="1:7" x14ac:dyDescent="0.3">
      <c r="A262" s="87" t="s">
        <v>315</v>
      </c>
      <c r="B262" s="52">
        <v>0</v>
      </c>
      <c r="C262" s="217">
        <v>0</v>
      </c>
      <c r="D262" s="43">
        <v>252</v>
      </c>
      <c r="E262" s="44">
        <v>1.4155235752081156E-3</v>
      </c>
      <c r="F262" s="51">
        <v>0</v>
      </c>
      <c r="G262" s="47">
        <v>-100</v>
      </c>
    </row>
    <row r="263" spans="1:7" x14ac:dyDescent="0.3">
      <c r="A263" s="87" t="s">
        <v>316</v>
      </c>
      <c r="B263" s="52">
        <v>0</v>
      </c>
      <c r="C263" s="217">
        <v>0</v>
      </c>
      <c r="D263" s="43">
        <v>859</v>
      </c>
      <c r="E263" s="44">
        <v>4.825137901205442E-3</v>
      </c>
      <c r="F263" s="51">
        <v>0</v>
      </c>
      <c r="G263" s="47">
        <v>-100</v>
      </c>
    </row>
    <row r="264" spans="1:7" x14ac:dyDescent="0.3">
      <c r="A264" s="87" t="s">
        <v>317</v>
      </c>
      <c r="B264" s="52">
        <v>0</v>
      </c>
      <c r="C264" s="217">
        <v>0</v>
      </c>
      <c r="D264" s="43">
        <v>289</v>
      </c>
      <c r="E264" s="44">
        <v>1.6233583858537516E-3</v>
      </c>
      <c r="F264" s="51">
        <v>0</v>
      </c>
      <c r="G264" s="47">
        <v>-100</v>
      </c>
    </row>
    <row r="265" spans="1:7" x14ac:dyDescent="0.3">
      <c r="A265" s="87" t="s">
        <v>318</v>
      </c>
      <c r="B265" s="52">
        <v>0</v>
      </c>
      <c r="C265" s="217">
        <v>0</v>
      </c>
      <c r="D265" s="43">
        <v>157805</v>
      </c>
      <c r="E265" s="44">
        <v>0.88641546740363764</v>
      </c>
      <c r="F265" s="51">
        <v>0</v>
      </c>
      <c r="G265" s="47">
        <v>-100</v>
      </c>
    </row>
    <row r="266" spans="1:7" x14ac:dyDescent="0.3">
      <c r="A266" s="64" t="s">
        <v>526</v>
      </c>
      <c r="B266" s="229">
        <v>0</v>
      </c>
      <c r="C266" s="228"/>
      <c r="D266" s="227">
        <v>178026</v>
      </c>
      <c r="E266" s="228"/>
      <c r="F266" s="60"/>
      <c r="G266" s="48"/>
    </row>
    <row r="267" spans="1:7" x14ac:dyDescent="0.3">
      <c r="A267" s="117"/>
      <c r="B267" s="117"/>
      <c r="C267" s="117"/>
      <c r="D267" s="117"/>
      <c r="E267" s="117"/>
      <c r="F267" s="117"/>
      <c r="G267" s="117"/>
    </row>
    <row r="268" spans="1:7" ht="39.950000000000003" customHeight="1" x14ac:dyDescent="0.3">
      <c r="A268" s="247" t="s">
        <v>322</v>
      </c>
      <c r="B268" s="230" t="s">
        <v>888</v>
      </c>
      <c r="C268" s="246" t="s">
        <v>888</v>
      </c>
      <c r="D268" s="230" t="s">
        <v>889</v>
      </c>
      <c r="E268" s="231" t="s">
        <v>889</v>
      </c>
      <c r="F268" s="238" t="s">
        <v>1</v>
      </c>
      <c r="G268" s="239" t="s">
        <v>1</v>
      </c>
    </row>
    <row r="269" spans="1:7" ht="15" customHeight="1" x14ac:dyDescent="0.3">
      <c r="A269" s="242" t="s">
        <v>871</v>
      </c>
      <c r="B269" s="37" t="s">
        <v>74</v>
      </c>
      <c r="C269" s="38" t="s">
        <v>75</v>
      </c>
      <c r="D269" s="36" t="s">
        <v>74</v>
      </c>
      <c r="E269" s="38" t="s">
        <v>75</v>
      </c>
      <c r="F269" s="240" t="s">
        <v>869</v>
      </c>
      <c r="G269" s="241" t="s">
        <v>870</v>
      </c>
    </row>
    <row r="270" spans="1:7" x14ac:dyDescent="0.3">
      <c r="A270" s="87" t="s">
        <v>320</v>
      </c>
      <c r="B270" s="52">
        <v>0</v>
      </c>
      <c r="C270" s="217">
        <v>0</v>
      </c>
      <c r="D270" s="43">
        <v>164495</v>
      </c>
      <c r="E270" s="44">
        <v>0.92400981895597756</v>
      </c>
      <c r="F270" s="51">
        <v>0</v>
      </c>
      <c r="G270" s="47">
        <v>-100</v>
      </c>
    </row>
    <row r="271" spans="1:7" x14ac:dyDescent="0.3">
      <c r="A271" s="88" t="s">
        <v>321</v>
      </c>
      <c r="B271" s="57">
        <v>0</v>
      </c>
      <c r="C271" s="221">
        <v>0</v>
      </c>
      <c r="D271" s="39">
        <v>13528</v>
      </c>
      <c r="E271" s="40">
        <v>7.5990181044022401E-2</v>
      </c>
      <c r="F271" s="51">
        <v>0</v>
      </c>
      <c r="G271" s="47">
        <v>-100</v>
      </c>
    </row>
    <row r="272" spans="1:7" x14ac:dyDescent="0.3">
      <c r="A272" s="64" t="s">
        <v>526</v>
      </c>
      <c r="B272" s="229">
        <v>0</v>
      </c>
      <c r="C272" s="228"/>
      <c r="D272" s="227">
        <v>178023</v>
      </c>
      <c r="E272" s="228"/>
      <c r="F272" s="60"/>
      <c r="G272" s="48"/>
    </row>
    <row r="273" spans="1:7" x14ac:dyDescent="0.3">
      <c r="A273" s="96" t="s">
        <v>323</v>
      </c>
      <c r="B273" s="97">
        <v>0</v>
      </c>
      <c r="C273" s="222">
        <v>0</v>
      </c>
      <c r="D273" s="98">
        <v>166356</v>
      </c>
      <c r="E273" s="99">
        <v>0.93445827528872516</v>
      </c>
      <c r="F273" s="51">
        <v>0</v>
      </c>
      <c r="G273" s="47">
        <v>-100</v>
      </c>
    </row>
    <row r="274" spans="1:7" x14ac:dyDescent="0.3">
      <c r="A274" s="100" t="s">
        <v>324</v>
      </c>
      <c r="B274" s="101">
        <v>0</v>
      </c>
      <c r="C274" s="223">
        <v>0</v>
      </c>
      <c r="D274" s="102">
        <v>11668</v>
      </c>
      <c r="E274" s="103">
        <v>6.5541724711274882E-2</v>
      </c>
      <c r="F274" s="51">
        <v>0</v>
      </c>
      <c r="G274" s="47">
        <v>-100</v>
      </c>
    </row>
    <row r="275" spans="1:7" x14ac:dyDescent="0.3">
      <c r="A275" s="64" t="s">
        <v>526</v>
      </c>
      <c r="B275" s="229">
        <v>0</v>
      </c>
      <c r="C275" s="228"/>
      <c r="D275" s="227">
        <v>178024</v>
      </c>
      <c r="E275" s="228"/>
      <c r="F275" s="60"/>
      <c r="G275" s="48"/>
    </row>
    <row r="276" spans="1:7" x14ac:dyDescent="0.3">
      <c r="A276" s="96" t="s">
        <v>325</v>
      </c>
      <c r="B276" s="97">
        <v>0</v>
      </c>
      <c r="C276" s="222">
        <v>0</v>
      </c>
      <c r="D276" s="98">
        <v>164632</v>
      </c>
      <c r="E276" s="99">
        <v>0.92487809262713194</v>
      </c>
      <c r="F276" s="51">
        <v>0</v>
      </c>
      <c r="G276" s="47">
        <v>-100</v>
      </c>
    </row>
    <row r="277" spans="1:7" x14ac:dyDescent="0.3">
      <c r="A277" s="100" t="s">
        <v>326</v>
      </c>
      <c r="B277" s="101">
        <v>0</v>
      </c>
      <c r="C277" s="223">
        <v>0</v>
      </c>
      <c r="D277" s="102">
        <v>13372</v>
      </c>
      <c r="E277" s="103">
        <v>7.512190737286803E-2</v>
      </c>
      <c r="F277" s="51">
        <v>0</v>
      </c>
      <c r="G277" s="47">
        <v>-100</v>
      </c>
    </row>
    <row r="278" spans="1:7" x14ac:dyDescent="0.3">
      <c r="A278" s="64" t="s">
        <v>526</v>
      </c>
      <c r="B278" s="229">
        <v>0</v>
      </c>
      <c r="C278" s="228"/>
      <c r="D278" s="227">
        <v>178004</v>
      </c>
      <c r="E278" s="228"/>
      <c r="F278" s="60"/>
      <c r="G278" s="48"/>
    </row>
    <row r="279" spans="1:7" x14ac:dyDescent="0.3">
      <c r="A279" s="95" t="s">
        <v>327</v>
      </c>
      <c r="B279" s="67">
        <v>0</v>
      </c>
      <c r="C279" s="224">
        <v>0</v>
      </c>
      <c r="D279" s="78">
        <v>162160</v>
      </c>
      <c r="E279" s="79">
        <v>0.91087818633233353</v>
      </c>
      <c r="F279" s="51">
        <v>0</v>
      </c>
      <c r="G279" s="47">
        <v>-100</v>
      </c>
    </row>
    <row r="280" spans="1:7" x14ac:dyDescent="0.3">
      <c r="A280" s="87" t="s">
        <v>328</v>
      </c>
      <c r="B280" s="52">
        <v>0</v>
      </c>
      <c r="C280" s="217">
        <v>0</v>
      </c>
      <c r="D280" s="43">
        <v>15866</v>
      </c>
      <c r="E280" s="44">
        <v>8.9121813667666527E-2</v>
      </c>
      <c r="F280" s="51">
        <v>0</v>
      </c>
      <c r="G280" s="47">
        <v>-100</v>
      </c>
    </row>
    <row r="281" spans="1:7" x14ac:dyDescent="0.3">
      <c r="A281" s="64" t="s">
        <v>526</v>
      </c>
      <c r="B281" s="229">
        <v>0</v>
      </c>
      <c r="C281" s="228"/>
      <c r="D281" s="227">
        <v>178026</v>
      </c>
      <c r="E281" s="228"/>
      <c r="F281" s="60"/>
      <c r="G281" s="48"/>
    </row>
    <row r="282" spans="1:7" x14ac:dyDescent="0.3">
      <c r="A282" s="59"/>
      <c r="B282" s="59"/>
      <c r="C282" s="59"/>
      <c r="D282" s="59"/>
      <c r="E282" s="59"/>
      <c r="F282" s="59"/>
      <c r="G282" s="59"/>
    </row>
    <row r="283" spans="1:7" x14ac:dyDescent="0.3">
      <c r="A283" s="144" t="s">
        <v>243</v>
      </c>
      <c r="B283" s="117"/>
      <c r="C283" s="218"/>
      <c r="D283" s="117"/>
      <c r="E283" s="117"/>
      <c r="F283" s="117"/>
      <c r="G283" s="117"/>
    </row>
    <row r="284" spans="1:7" ht="39.950000000000003" customHeight="1" x14ac:dyDescent="0.3">
      <c r="A284" s="254" t="s">
        <v>243</v>
      </c>
      <c r="B284" s="230" t="s">
        <v>888</v>
      </c>
      <c r="C284" s="246" t="s">
        <v>888</v>
      </c>
      <c r="D284" s="230" t="s">
        <v>889</v>
      </c>
      <c r="E284" s="231" t="s">
        <v>889</v>
      </c>
      <c r="F284" s="238" t="s">
        <v>1</v>
      </c>
      <c r="G284" s="239" t="s">
        <v>1</v>
      </c>
    </row>
    <row r="285" spans="1:7" ht="15" customHeight="1" x14ac:dyDescent="0.3">
      <c r="A285" s="242" t="s">
        <v>871</v>
      </c>
      <c r="B285" s="37" t="s">
        <v>74</v>
      </c>
      <c r="C285" s="38" t="s">
        <v>75</v>
      </c>
      <c r="D285" s="36" t="s">
        <v>74</v>
      </c>
      <c r="E285" s="38" t="s">
        <v>75</v>
      </c>
      <c r="F285" s="240" t="s">
        <v>869</v>
      </c>
      <c r="G285" s="241" t="s">
        <v>870</v>
      </c>
    </row>
    <row r="286" spans="1:7" ht="15" customHeight="1" x14ac:dyDescent="0.3">
      <c r="A286" s="87" t="s">
        <v>383</v>
      </c>
      <c r="B286" s="52">
        <v>298554</v>
      </c>
      <c r="C286" s="217">
        <v>0.81222386662894208</v>
      </c>
      <c r="D286" s="43">
        <v>1364063</v>
      </c>
      <c r="E286" s="44">
        <v>0.87329039213665216</v>
      </c>
      <c r="F286" s="51">
        <v>93.007305925088616</v>
      </c>
      <c r="G286" s="47">
        <v>-6.992694074911384</v>
      </c>
    </row>
    <row r="287" spans="1:7" s="141" customFormat="1" x14ac:dyDescent="0.25">
      <c r="A287" s="87" t="s">
        <v>528</v>
      </c>
      <c r="B287" s="52">
        <v>30628</v>
      </c>
      <c r="C287" s="217">
        <v>8.3324264913922558E-2</v>
      </c>
      <c r="D287" s="43">
        <v>95082</v>
      </c>
      <c r="E287" s="44">
        <v>6.0872699475857904E-2</v>
      </c>
      <c r="F287" s="51">
        <v>136.88281550084523</v>
      </c>
      <c r="G287" s="47">
        <v>36.882815500845226</v>
      </c>
    </row>
    <row r="288" spans="1:7" s="141" customFormat="1" x14ac:dyDescent="0.25">
      <c r="A288" s="110" t="s">
        <v>277</v>
      </c>
      <c r="B288" s="52">
        <v>28090</v>
      </c>
      <c r="C288" s="217">
        <v>7.6419570374561999E-2</v>
      </c>
      <c r="D288" s="43">
        <v>87131</v>
      </c>
      <c r="E288" s="44">
        <v>5.5782368671577952E-2</v>
      </c>
      <c r="F288" s="51">
        <v>136.99592217836215</v>
      </c>
      <c r="G288" s="47">
        <v>36.99592217836215</v>
      </c>
    </row>
    <row r="289" spans="1:7" s="141" customFormat="1" x14ac:dyDescent="0.25">
      <c r="A289" s="93" t="s">
        <v>278</v>
      </c>
      <c r="B289" s="52">
        <v>15259</v>
      </c>
      <c r="C289" s="217">
        <v>4.1512503536683572E-2</v>
      </c>
      <c r="D289" s="43">
        <v>39644</v>
      </c>
      <c r="E289" s="44">
        <v>2.5380590416912881E-2</v>
      </c>
      <c r="F289" s="51">
        <v>163.5600388122605</v>
      </c>
      <c r="G289" s="47">
        <v>63.560038812260501</v>
      </c>
    </row>
    <row r="290" spans="1:7" x14ac:dyDescent="0.3">
      <c r="A290" s="93" t="s">
        <v>279</v>
      </c>
      <c r="B290" s="52">
        <v>8965</v>
      </c>
      <c r="C290" s="217">
        <v>2.4389514005266937E-2</v>
      </c>
      <c r="D290" s="43">
        <v>31747</v>
      </c>
      <c r="E290" s="44">
        <v>2.0324831095896813E-2</v>
      </c>
      <c r="F290" s="51">
        <v>119.99860609021596</v>
      </c>
      <c r="G290" s="47">
        <v>19.998606090215958</v>
      </c>
    </row>
    <row r="291" spans="1:7" x14ac:dyDescent="0.3">
      <c r="A291" s="93" t="s">
        <v>280</v>
      </c>
      <c r="B291" s="52">
        <v>3282</v>
      </c>
      <c r="C291" s="217">
        <v>8.9287657518445172E-3</v>
      </c>
      <c r="D291" s="43">
        <v>13494</v>
      </c>
      <c r="E291" s="44">
        <v>8.6390295400520234E-3</v>
      </c>
      <c r="F291" s="51">
        <v>103.35380508249483</v>
      </c>
      <c r="G291" s="47">
        <v>3.35380508249483</v>
      </c>
    </row>
    <row r="292" spans="1:7" x14ac:dyDescent="0.3">
      <c r="A292" s="93" t="s">
        <v>281</v>
      </c>
      <c r="B292" s="52">
        <v>584</v>
      </c>
      <c r="C292" s="217">
        <v>1.5887870807669707E-3</v>
      </c>
      <c r="D292" s="43">
        <v>2246</v>
      </c>
      <c r="E292" s="44">
        <v>1.4379176187162327E-3</v>
      </c>
      <c r="F292" s="51">
        <v>110.49221875349393</v>
      </c>
      <c r="G292" s="47">
        <v>10.49221875349393</v>
      </c>
    </row>
    <row r="293" spans="1:7" ht="15" customHeight="1" x14ac:dyDescent="0.3">
      <c r="A293" s="111" t="s">
        <v>276</v>
      </c>
      <c r="B293" s="52">
        <v>2538</v>
      </c>
      <c r="C293" s="217">
        <v>6.9046945393605678E-3</v>
      </c>
      <c r="D293" s="43">
        <v>7951</v>
      </c>
      <c r="E293" s="44">
        <v>5.0903308042799496E-3</v>
      </c>
      <c r="F293" s="51">
        <v>135.64333645182944</v>
      </c>
      <c r="G293" s="47">
        <v>35.643336451829441</v>
      </c>
    </row>
    <row r="294" spans="1:7" ht="15" customHeight="1" x14ac:dyDescent="0.3">
      <c r="A294" s="88" t="s">
        <v>271</v>
      </c>
      <c r="B294" s="52">
        <v>11815</v>
      </c>
      <c r="C294" s="217">
        <v>3.2143012601475611E-2</v>
      </c>
      <c r="D294" s="43">
        <v>29800</v>
      </c>
      <c r="E294" s="44">
        <v>1.9078337060437996E-2</v>
      </c>
      <c r="F294" s="51">
        <v>168.47911062505193</v>
      </c>
      <c r="G294" s="47">
        <v>68.479110625051931</v>
      </c>
    </row>
    <row r="295" spans="1:7" ht="15" customHeight="1" x14ac:dyDescent="0.3">
      <c r="A295" s="88" t="s">
        <v>272</v>
      </c>
      <c r="B295" s="52">
        <v>17314</v>
      </c>
      <c r="C295" s="217">
        <v>4.7103184103423512E-2</v>
      </c>
      <c r="D295" s="43">
        <v>50490</v>
      </c>
      <c r="E295" s="44">
        <v>3.2324336851728669E-2</v>
      </c>
      <c r="F295" s="65">
        <v>145.72049635383158</v>
      </c>
      <c r="G295" s="94">
        <v>45.720496353831578</v>
      </c>
    </row>
    <row r="296" spans="1:7" ht="15" customHeight="1" x14ac:dyDescent="0.3">
      <c r="A296" s="88" t="s">
        <v>273</v>
      </c>
      <c r="B296" s="52">
        <v>7572</v>
      </c>
      <c r="C296" s="217">
        <v>2.0599821533505997E-2</v>
      </c>
      <c r="D296" s="43">
        <v>17383</v>
      </c>
      <c r="E296" s="44">
        <v>1.1128816547704486E-2</v>
      </c>
      <c r="F296" s="51">
        <v>185.10343346215976</v>
      </c>
      <c r="G296" s="47">
        <v>85.103433462159757</v>
      </c>
    </row>
    <row r="297" spans="1:7" ht="15" customHeight="1" x14ac:dyDescent="0.3">
      <c r="A297" s="88" t="s">
        <v>274</v>
      </c>
      <c r="B297" s="52">
        <v>1553</v>
      </c>
      <c r="C297" s="217">
        <v>4.2249766034779205E-3</v>
      </c>
      <c r="D297" s="43">
        <v>4697</v>
      </c>
      <c r="E297" s="44">
        <v>3.0070788313046062E-3</v>
      </c>
      <c r="F297" s="51">
        <v>140.50102576276444</v>
      </c>
      <c r="G297" s="47">
        <v>40.501025762764442</v>
      </c>
    </row>
    <row r="298" spans="1:7" ht="15" customHeight="1" x14ac:dyDescent="0.3">
      <c r="A298" s="88" t="s">
        <v>275</v>
      </c>
      <c r="B298" s="52">
        <v>140</v>
      </c>
      <c r="C298" s="217">
        <v>3.8087361525235595E-4</v>
      </c>
      <c r="D298" s="43">
        <v>466</v>
      </c>
      <c r="E298" s="44">
        <v>2.9833909631423171E-4</v>
      </c>
      <c r="F298" s="51">
        <v>127.66466747328116</v>
      </c>
      <c r="G298" s="47">
        <v>27.664667473281156</v>
      </c>
    </row>
    <row r="299" spans="1:7" x14ac:dyDescent="0.3">
      <c r="A299" s="64" t="s">
        <v>2</v>
      </c>
      <c r="B299" s="229">
        <v>367576</v>
      </c>
      <c r="C299" s="228"/>
      <c r="D299" s="227">
        <v>1561981</v>
      </c>
      <c r="E299" s="228"/>
      <c r="F299" s="60"/>
      <c r="G299" s="48"/>
    </row>
    <row r="300" spans="1:7" ht="45" customHeight="1" x14ac:dyDescent="0.3">
      <c r="A300" s="283" t="s">
        <v>852</v>
      </c>
      <c r="B300" s="283"/>
      <c r="C300" s="283"/>
      <c r="D300" s="283"/>
      <c r="E300" s="283"/>
      <c r="F300" s="283"/>
      <c r="G300" s="283"/>
    </row>
    <row r="301" spans="1:7" x14ac:dyDescent="0.3">
      <c r="A301" s="80"/>
      <c r="B301" s="90"/>
      <c r="C301" s="90"/>
      <c r="D301" s="86"/>
      <c r="E301" s="86"/>
      <c r="F301" s="86"/>
      <c r="G301" s="86"/>
    </row>
    <row r="302" spans="1:7" x14ac:dyDescent="0.3">
      <c r="A302" s="144" t="s">
        <v>470</v>
      </c>
      <c r="B302" s="90"/>
      <c r="C302" s="90"/>
      <c r="D302" s="86"/>
      <c r="E302" s="86"/>
      <c r="F302" s="86"/>
      <c r="G302" s="86"/>
    </row>
    <row r="303" spans="1:7" ht="39.950000000000003" customHeight="1" x14ac:dyDescent="0.3">
      <c r="A303" s="252" t="s">
        <v>292</v>
      </c>
      <c r="B303" s="230" t="s">
        <v>888</v>
      </c>
      <c r="C303" s="246" t="s">
        <v>888</v>
      </c>
      <c r="D303" s="230" t="s">
        <v>889</v>
      </c>
      <c r="E303" s="231" t="s">
        <v>889</v>
      </c>
      <c r="F303" s="238" t="s">
        <v>1</v>
      </c>
      <c r="G303" s="239" t="s">
        <v>1</v>
      </c>
    </row>
    <row r="304" spans="1:7" x14ac:dyDescent="0.3">
      <c r="A304" s="242" t="s">
        <v>871</v>
      </c>
      <c r="B304" s="37" t="s">
        <v>74</v>
      </c>
      <c r="C304" s="38" t="s">
        <v>75</v>
      </c>
      <c r="D304" s="36" t="s">
        <v>74</v>
      </c>
      <c r="E304" s="38" t="s">
        <v>75</v>
      </c>
      <c r="F304" s="240" t="s">
        <v>869</v>
      </c>
      <c r="G304" s="241" t="s">
        <v>870</v>
      </c>
    </row>
    <row r="305" spans="1:7" x14ac:dyDescent="0.3">
      <c r="A305" s="87" t="s">
        <v>244</v>
      </c>
      <c r="B305" s="52">
        <v>298554</v>
      </c>
      <c r="C305" s="217">
        <v>0.81212002513444481</v>
      </c>
      <c r="D305" s="43">
        <v>1364063</v>
      </c>
      <c r="E305" s="44">
        <v>0.87332953029974181</v>
      </c>
      <c r="F305" s="51">
        <v>92.991247514063929</v>
      </c>
      <c r="G305" s="47">
        <v>-7.0087524859360713</v>
      </c>
    </row>
    <row r="306" spans="1:7" ht="15" customHeight="1" x14ac:dyDescent="0.3">
      <c r="A306" s="87" t="s">
        <v>282</v>
      </c>
      <c r="B306" s="52">
        <v>329</v>
      </c>
      <c r="C306" s="217">
        <v>8.9493856477967915E-4</v>
      </c>
      <c r="D306" s="43">
        <v>1868</v>
      </c>
      <c r="E306" s="44">
        <v>1.19597083316527E-3</v>
      </c>
      <c r="F306" s="51">
        <v>74.82946406068487</v>
      </c>
      <c r="G306" s="47">
        <v>-25.17053593931513</v>
      </c>
    </row>
    <row r="307" spans="1:7" x14ac:dyDescent="0.3">
      <c r="A307" s="87" t="s">
        <v>245</v>
      </c>
      <c r="B307" s="52">
        <v>1111</v>
      </c>
      <c r="C307" s="217">
        <v>3.022117767386698E-3</v>
      </c>
      <c r="D307" s="43">
        <v>4850</v>
      </c>
      <c r="E307" s="44">
        <v>3.1051705250811348E-3</v>
      </c>
      <c r="F307" s="51">
        <v>97.325339879932457</v>
      </c>
      <c r="G307" s="47">
        <v>-2.6746601200675428</v>
      </c>
    </row>
    <row r="308" spans="1:7" x14ac:dyDescent="0.3">
      <c r="A308" s="87" t="s">
        <v>246</v>
      </c>
      <c r="B308" s="52">
        <v>2587</v>
      </c>
      <c r="C308" s="217">
        <v>7.0371005078572338E-3</v>
      </c>
      <c r="D308" s="43">
        <v>8993</v>
      </c>
      <c r="E308" s="44">
        <v>5.7576904189803385E-3</v>
      </c>
      <c r="F308" s="51">
        <v>122.22089059632826</v>
      </c>
      <c r="G308" s="47">
        <v>22.22089059632826</v>
      </c>
    </row>
    <row r="309" spans="1:7" x14ac:dyDescent="0.3">
      <c r="A309" s="87" t="s">
        <v>247</v>
      </c>
      <c r="B309" s="52">
        <v>2281</v>
      </c>
      <c r="C309" s="217">
        <v>6.204726037271879E-3</v>
      </c>
      <c r="D309" s="43">
        <v>8034</v>
      </c>
      <c r="E309" s="44">
        <v>5.1436989687632653E-3</v>
      </c>
      <c r="F309" s="51">
        <v>120.62770537218516</v>
      </c>
      <c r="G309" s="47">
        <v>20.627705372185162</v>
      </c>
    </row>
    <row r="310" spans="1:7" x14ac:dyDescent="0.3">
      <c r="A310" s="87" t="s">
        <v>248</v>
      </c>
      <c r="B310" s="52">
        <v>2583</v>
      </c>
      <c r="C310" s="217">
        <v>7.0262197958234386E-3</v>
      </c>
      <c r="D310" s="43">
        <v>8948</v>
      </c>
      <c r="E310" s="44">
        <v>5.7288795584383486E-3</v>
      </c>
      <c r="F310" s="51">
        <v>122.64561899323184</v>
      </c>
      <c r="G310" s="47">
        <v>22.645618993231835</v>
      </c>
    </row>
    <row r="311" spans="1:7" x14ac:dyDescent="0.3">
      <c r="A311" s="87" t="s">
        <v>249</v>
      </c>
      <c r="B311" s="52">
        <v>6081</v>
      </c>
      <c r="C311" s="217">
        <v>1.6541402469377596E-2</v>
      </c>
      <c r="D311" s="43">
        <v>16916</v>
      </c>
      <c r="E311" s="44">
        <v>1.0830322598406696E-2</v>
      </c>
      <c r="F311" s="51">
        <v>152.7323153957675</v>
      </c>
      <c r="G311" s="47">
        <v>52.7323153957675</v>
      </c>
    </row>
    <row r="312" spans="1:7" x14ac:dyDescent="0.3">
      <c r="A312" s="87" t="s">
        <v>283</v>
      </c>
      <c r="B312" s="52">
        <v>18597</v>
      </c>
      <c r="C312" s="217">
        <v>5.0587150423123686E-2</v>
      </c>
      <c r="D312" s="43">
        <v>55740</v>
      </c>
      <c r="E312" s="44">
        <v>3.5687052591344831E-2</v>
      </c>
      <c r="F312" s="51">
        <v>141.75211105943944</v>
      </c>
      <c r="G312" s="47">
        <v>41.752111059439443</v>
      </c>
    </row>
    <row r="313" spans="1:7" x14ac:dyDescent="0.3">
      <c r="A313" s="87" t="s">
        <v>284</v>
      </c>
      <c r="B313" s="52">
        <v>6525</v>
      </c>
      <c r="C313" s="217">
        <v>1.7749161505128896E-2</v>
      </c>
      <c r="D313" s="43">
        <v>18558</v>
      </c>
      <c r="E313" s="44">
        <v>1.1881598887516638E-2</v>
      </c>
      <c r="F313" s="51">
        <v>149.38361135702866</v>
      </c>
      <c r="G313" s="47">
        <v>49.383611357028656</v>
      </c>
    </row>
    <row r="314" spans="1:7" x14ac:dyDescent="0.3">
      <c r="A314" s="87" t="s">
        <v>285</v>
      </c>
      <c r="B314" s="52">
        <v>9438</v>
      </c>
      <c r="C314" s="217">
        <v>2.5673040043740464E-2</v>
      </c>
      <c r="D314" s="43">
        <v>26691</v>
      </c>
      <c r="E314" s="44">
        <v>1.7088681749472281E-2</v>
      </c>
      <c r="F314" s="65">
        <v>150.23417499441277</v>
      </c>
      <c r="G314" s="94">
        <v>50.234174994412768</v>
      </c>
    </row>
    <row r="315" spans="1:7" x14ac:dyDescent="0.3">
      <c r="A315" s="87" t="s">
        <v>286</v>
      </c>
      <c r="B315" s="52">
        <v>12352</v>
      </c>
      <c r="C315" s="217">
        <v>3.3599638760360477E-2</v>
      </c>
      <c r="D315" s="43">
        <v>31158</v>
      </c>
      <c r="E315" s="44">
        <v>1.9948639839273814E-2</v>
      </c>
      <c r="F315" s="51">
        <v>168.43072525782588</v>
      </c>
      <c r="G315" s="47">
        <v>68.430725257825884</v>
      </c>
    </row>
    <row r="316" spans="1:7" x14ac:dyDescent="0.3">
      <c r="A316" s="87" t="s">
        <v>287</v>
      </c>
      <c r="B316" s="52">
        <v>7185</v>
      </c>
      <c r="C316" s="217">
        <v>1.954447899070515E-2</v>
      </c>
      <c r="D316" s="89">
        <v>16092</v>
      </c>
      <c r="E316" s="55">
        <v>1.0302763729815591E-2</v>
      </c>
      <c r="F316" s="51">
        <v>189.70132192922739</v>
      </c>
      <c r="G316" s="47">
        <v>89.70132192922739</v>
      </c>
    </row>
    <row r="317" spans="1:7" x14ac:dyDescent="0.3">
      <c r="A317" s="64" t="s">
        <v>2</v>
      </c>
      <c r="B317" s="229">
        <v>367623</v>
      </c>
      <c r="C317" s="228"/>
      <c r="D317" s="227">
        <v>1561911</v>
      </c>
      <c r="E317" s="228"/>
      <c r="F317" s="60"/>
      <c r="G317" s="48"/>
    </row>
    <row r="318" spans="1:7" x14ac:dyDescent="0.3">
      <c r="A318" s="58"/>
      <c r="B318" s="85"/>
      <c r="C318" s="216"/>
      <c r="D318" s="85"/>
      <c r="E318" s="85"/>
      <c r="F318" s="85"/>
      <c r="G318" s="86"/>
    </row>
    <row r="319" spans="1:7" ht="39.950000000000003" customHeight="1" x14ac:dyDescent="0.3">
      <c r="A319" s="252" t="s">
        <v>291</v>
      </c>
      <c r="B319" s="230" t="s">
        <v>888</v>
      </c>
      <c r="C319" s="246" t="s">
        <v>888</v>
      </c>
      <c r="D319" s="230" t="s">
        <v>889</v>
      </c>
      <c r="E319" s="231" t="s">
        <v>889</v>
      </c>
      <c r="F319" s="238" t="s">
        <v>1</v>
      </c>
      <c r="G319" s="239" t="s">
        <v>1</v>
      </c>
    </row>
    <row r="320" spans="1:7" x14ac:dyDescent="0.3">
      <c r="A320" s="242" t="s">
        <v>871</v>
      </c>
      <c r="B320" s="37" t="s">
        <v>74</v>
      </c>
      <c r="C320" s="38" t="s">
        <v>75</v>
      </c>
      <c r="D320" s="36" t="s">
        <v>74</v>
      </c>
      <c r="E320" s="38" t="s">
        <v>75</v>
      </c>
      <c r="F320" s="240" t="s">
        <v>869</v>
      </c>
      <c r="G320" s="241" t="s">
        <v>870</v>
      </c>
    </row>
    <row r="321" spans="1:7" x14ac:dyDescent="0.3">
      <c r="A321" s="87" t="s">
        <v>244</v>
      </c>
      <c r="B321" s="52">
        <v>298554</v>
      </c>
      <c r="C321" s="217">
        <v>0.8121995609202719</v>
      </c>
      <c r="D321" s="43">
        <v>1364063</v>
      </c>
      <c r="E321" s="44">
        <v>0.87322945540909935</v>
      </c>
      <c r="F321" s="51">
        <v>93.011012843097973</v>
      </c>
      <c r="G321" s="47">
        <v>-6.9889871569020272</v>
      </c>
    </row>
    <row r="322" spans="1:7" x14ac:dyDescent="0.3">
      <c r="A322" s="87" t="s">
        <v>250</v>
      </c>
      <c r="B322" s="52">
        <v>7933</v>
      </c>
      <c r="C322" s="217">
        <v>2.158128551880235E-2</v>
      </c>
      <c r="D322" s="43">
        <v>27231</v>
      </c>
      <c r="E322" s="44">
        <v>1.7432414265503269E-2</v>
      </c>
      <c r="F322" s="51">
        <v>123.79975137184078</v>
      </c>
      <c r="G322" s="47">
        <v>23.799751371840784</v>
      </c>
    </row>
    <row r="323" spans="1:7" x14ac:dyDescent="0.3">
      <c r="A323" s="87" t="s">
        <v>288</v>
      </c>
      <c r="B323" s="52">
        <v>4700</v>
      </c>
      <c r="C323" s="217">
        <v>1.2786088735455824E-2</v>
      </c>
      <c r="D323" s="43">
        <v>14411</v>
      </c>
      <c r="E323" s="44">
        <v>9.2254607609036608E-3</v>
      </c>
      <c r="F323" s="51">
        <v>138.59566548309061</v>
      </c>
      <c r="G323" s="47">
        <v>38.595665483090613</v>
      </c>
    </row>
    <row r="324" spans="1:7" x14ac:dyDescent="0.3">
      <c r="A324" s="87" t="s">
        <v>251</v>
      </c>
      <c r="B324" s="52">
        <v>4059</v>
      </c>
      <c r="C324" s="217">
        <v>1.1042283867492593E-2</v>
      </c>
      <c r="D324" s="43">
        <v>11847</v>
      </c>
      <c r="E324" s="44">
        <v>7.5840700599837394E-3</v>
      </c>
      <c r="F324" s="51">
        <v>145.59838952115732</v>
      </c>
      <c r="G324" s="47">
        <v>45.598389521157316</v>
      </c>
    </row>
    <row r="325" spans="1:7" x14ac:dyDescent="0.3">
      <c r="A325" s="87" t="s">
        <v>289</v>
      </c>
      <c r="B325" s="52">
        <v>9589</v>
      </c>
      <c r="C325" s="217">
        <v>2.6086341464741682E-2</v>
      </c>
      <c r="D325" s="43">
        <v>23950</v>
      </c>
      <c r="E325" s="44">
        <v>1.533202312286744E-2</v>
      </c>
      <c r="F325" s="51">
        <v>170.14285235347947</v>
      </c>
      <c r="G325" s="47">
        <v>70.142852353479469</v>
      </c>
    </row>
    <row r="326" spans="1:7" ht="15" customHeight="1" x14ac:dyDescent="0.3">
      <c r="A326" s="87" t="s">
        <v>252</v>
      </c>
      <c r="B326" s="52">
        <v>13735</v>
      </c>
      <c r="C326" s="217">
        <v>3.7365303996060799E-2</v>
      </c>
      <c r="D326" s="43">
        <v>36527</v>
      </c>
      <c r="E326" s="44">
        <v>2.3383415808308099E-2</v>
      </c>
      <c r="F326" s="51">
        <v>159.79403651875768</v>
      </c>
      <c r="G326" s="47">
        <v>59.794036518757679</v>
      </c>
    </row>
    <row r="327" spans="1:7" x14ac:dyDescent="0.3">
      <c r="A327" s="87" t="s">
        <v>253</v>
      </c>
      <c r="B327" s="52">
        <v>12459</v>
      </c>
      <c r="C327" s="217">
        <v>3.3894016926605132E-2</v>
      </c>
      <c r="D327" s="43">
        <v>33207</v>
      </c>
      <c r="E327" s="44">
        <v>2.1258058114449231E-2</v>
      </c>
      <c r="F327" s="51">
        <v>159.44079531689286</v>
      </c>
      <c r="G327" s="47">
        <v>59.44079531689286</v>
      </c>
    </row>
    <row r="328" spans="1:7" ht="15" customHeight="1" x14ac:dyDescent="0.3">
      <c r="A328" s="87" t="s">
        <v>254</v>
      </c>
      <c r="B328" s="52">
        <v>13348</v>
      </c>
      <c r="C328" s="217">
        <v>3.631249200869454E-2</v>
      </c>
      <c r="D328" s="43">
        <v>39979</v>
      </c>
      <c r="E328" s="44">
        <v>2.559327567553726E-2</v>
      </c>
      <c r="F328" s="51">
        <v>141.88294014823194</v>
      </c>
      <c r="G328" s="47">
        <v>41.882940148231938</v>
      </c>
    </row>
    <row r="329" spans="1:7" ht="15" customHeight="1" x14ac:dyDescent="0.3">
      <c r="A329" s="87" t="s">
        <v>255</v>
      </c>
      <c r="B329" s="52">
        <v>2542</v>
      </c>
      <c r="C329" s="217">
        <v>6.9153696947933411E-3</v>
      </c>
      <c r="D329" s="43">
        <v>8698</v>
      </c>
      <c r="E329" s="44">
        <v>5.5681810907182048E-3</v>
      </c>
      <c r="F329" s="51">
        <v>124.19441074430593</v>
      </c>
      <c r="G329" s="47">
        <v>24.194410744305927</v>
      </c>
    </row>
    <row r="330" spans="1:7" x14ac:dyDescent="0.3">
      <c r="A330" s="87" t="s">
        <v>256</v>
      </c>
      <c r="B330" s="52">
        <v>282</v>
      </c>
      <c r="C330" s="217">
        <v>7.6716532412734941E-4</v>
      </c>
      <c r="D330" s="43">
        <v>962</v>
      </c>
      <c r="E330" s="44">
        <v>6.1584159683500948E-4</v>
      </c>
      <c r="F330" s="65">
        <v>124.57185874907395</v>
      </c>
      <c r="G330" s="94">
        <v>24.571858749073954</v>
      </c>
    </row>
    <row r="331" spans="1:7" ht="15" customHeight="1" x14ac:dyDescent="0.3">
      <c r="A331" s="87" t="s">
        <v>257</v>
      </c>
      <c r="B331" s="52">
        <v>294</v>
      </c>
      <c r="C331" s="217">
        <v>7.9981065706893873E-4</v>
      </c>
      <c r="D331" s="43">
        <v>914</v>
      </c>
      <c r="E331" s="44">
        <v>5.8511353379126678E-4</v>
      </c>
      <c r="F331" s="51">
        <v>136.69324171781386</v>
      </c>
      <c r="G331" s="47">
        <v>36.693241717813862</v>
      </c>
    </row>
    <row r="332" spans="1:7" ht="15" customHeight="1" x14ac:dyDescent="0.3">
      <c r="A332" s="87" t="s">
        <v>258</v>
      </c>
      <c r="B332" s="52">
        <v>77</v>
      </c>
      <c r="C332" s="217">
        <v>2.0947421970853158E-4</v>
      </c>
      <c r="D332" s="43">
        <v>248</v>
      </c>
      <c r="E332" s="44">
        <v>1.5876165905933718E-4</v>
      </c>
      <c r="F332" s="51">
        <v>131.94257413891134</v>
      </c>
      <c r="G332" s="47">
        <v>31.94257413891134</v>
      </c>
    </row>
    <row r="333" spans="1:7" ht="15" customHeight="1" x14ac:dyDescent="0.3">
      <c r="A333" s="87" t="s">
        <v>290</v>
      </c>
      <c r="B333" s="52">
        <v>15</v>
      </c>
      <c r="C333" s="217">
        <v>4.0806666176986671E-5</v>
      </c>
      <c r="D333" s="43">
        <v>53</v>
      </c>
      <c r="E333" s="44">
        <v>3.3928902944132541E-5</v>
      </c>
      <c r="F333" s="51">
        <v>120.27110409133795</v>
      </c>
      <c r="G333" s="47">
        <v>20.271104091337946</v>
      </c>
    </row>
    <row r="334" spans="1:7" ht="15" customHeight="1" x14ac:dyDescent="0.3">
      <c r="A334" s="64" t="s">
        <v>2</v>
      </c>
      <c r="B334" s="229">
        <v>367587</v>
      </c>
      <c r="C334" s="228"/>
      <c r="D334" s="227">
        <v>1562090</v>
      </c>
      <c r="E334" s="228"/>
      <c r="F334" s="60"/>
      <c r="G334" s="48"/>
    </row>
    <row r="335" spans="1:7" ht="15" customHeight="1" x14ac:dyDescent="0.3">
      <c r="A335" s="58"/>
      <c r="B335" s="85"/>
      <c r="C335" s="216"/>
      <c r="D335" s="85"/>
      <c r="E335" s="85"/>
      <c r="F335" s="85"/>
      <c r="G335" s="86"/>
    </row>
    <row r="336" spans="1:7" ht="39.950000000000003" customHeight="1" x14ac:dyDescent="0.3">
      <c r="A336" s="252" t="s">
        <v>530</v>
      </c>
      <c r="B336" s="230" t="s">
        <v>888</v>
      </c>
      <c r="C336" s="246" t="s">
        <v>888</v>
      </c>
      <c r="D336" s="230" t="s">
        <v>889</v>
      </c>
      <c r="E336" s="231" t="s">
        <v>889</v>
      </c>
      <c r="F336" s="238" t="s">
        <v>1</v>
      </c>
      <c r="G336" s="239" t="s">
        <v>1</v>
      </c>
    </row>
    <row r="337" spans="1:7" ht="15" customHeight="1" x14ac:dyDescent="0.3">
      <c r="A337" s="242" t="s">
        <v>871</v>
      </c>
      <c r="B337" s="37" t="s">
        <v>74</v>
      </c>
      <c r="C337" s="38" t="s">
        <v>75</v>
      </c>
      <c r="D337" s="36" t="s">
        <v>74</v>
      </c>
      <c r="E337" s="38" t="s">
        <v>75</v>
      </c>
      <c r="F337" s="240" t="s">
        <v>869</v>
      </c>
      <c r="G337" s="241" t="s">
        <v>870</v>
      </c>
    </row>
    <row r="338" spans="1:7" ht="15" customHeight="1" x14ac:dyDescent="0.3">
      <c r="A338" s="87" t="s">
        <v>244</v>
      </c>
      <c r="B338" s="52">
        <v>298554</v>
      </c>
      <c r="C338" s="217">
        <v>0.81215316315205333</v>
      </c>
      <c r="D338" s="43">
        <v>1364063</v>
      </c>
      <c r="E338" s="44">
        <v>0.87332393891880578</v>
      </c>
      <c r="F338" s="51">
        <v>92.99563735279223</v>
      </c>
      <c r="G338" s="47">
        <v>-7.0043626472077705</v>
      </c>
    </row>
    <row r="339" spans="1:7" ht="15" customHeight="1" x14ac:dyDescent="0.3">
      <c r="A339" s="87" t="s">
        <v>260</v>
      </c>
      <c r="B339" s="52">
        <v>34063</v>
      </c>
      <c r="C339" s="217">
        <v>9.2661204326347626E-2</v>
      </c>
      <c r="D339" s="43">
        <v>106691</v>
      </c>
      <c r="E339" s="44">
        <v>6.830755204648635E-2</v>
      </c>
      <c r="F339" s="51">
        <v>135.65294253743352</v>
      </c>
      <c r="G339" s="47">
        <v>35.652942537433518</v>
      </c>
    </row>
    <row r="340" spans="1:7" ht="15" customHeight="1" x14ac:dyDescent="0.3">
      <c r="A340" s="87" t="s">
        <v>293</v>
      </c>
      <c r="B340" s="52">
        <v>13086</v>
      </c>
      <c r="C340" s="217">
        <v>3.5597701899849843E-2</v>
      </c>
      <c r="D340" s="43">
        <v>37029</v>
      </c>
      <c r="E340" s="44">
        <v>2.3707344993760888E-2</v>
      </c>
      <c r="F340" s="51">
        <v>150.15473858088356</v>
      </c>
      <c r="G340" s="47">
        <v>50.15473858088356</v>
      </c>
    </row>
    <row r="341" spans="1:7" ht="15" customHeight="1" x14ac:dyDescent="0.3">
      <c r="A341" s="87" t="s">
        <v>294</v>
      </c>
      <c r="B341" s="52">
        <v>10738</v>
      </c>
      <c r="C341" s="217">
        <v>2.9210463319623077E-2</v>
      </c>
      <c r="D341" s="43">
        <v>28235</v>
      </c>
      <c r="E341" s="44">
        <v>1.8077098649675622E-2</v>
      </c>
      <c r="F341" s="51">
        <v>161.58822765591995</v>
      </c>
      <c r="G341" s="47">
        <v>61.588227655919951</v>
      </c>
    </row>
    <row r="342" spans="1:7" ht="15" customHeight="1" x14ac:dyDescent="0.3">
      <c r="A342" s="87" t="s">
        <v>259</v>
      </c>
      <c r="B342" s="52">
        <v>11167</v>
      </c>
      <c r="C342" s="217">
        <v>3.0377467302126177E-2</v>
      </c>
      <c r="D342" s="89">
        <v>25903</v>
      </c>
      <c r="E342" s="55">
        <v>1.6584065391271389E-2</v>
      </c>
      <c r="F342" s="51">
        <v>183.17262134117368</v>
      </c>
      <c r="G342" s="47">
        <v>83.172621341173681</v>
      </c>
    </row>
    <row r="343" spans="1:7" ht="15" customHeight="1" x14ac:dyDescent="0.3">
      <c r="A343" s="64" t="s">
        <v>2</v>
      </c>
      <c r="B343" s="229">
        <v>367608</v>
      </c>
      <c r="C343" s="228"/>
      <c r="D343" s="227">
        <v>1561921</v>
      </c>
      <c r="E343" s="228"/>
      <c r="F343" s="60"/>
      <c r="G343" s="48"/>
    </row>
    <row r="344" spans="1:7" ht="15" customHeight="1" x14ac:dyDescent="0.3">
      <c r="A344" s="58"/>
      <c r="B344" s="85"/>
      <c r="C344" s="216"/>
      <c r="D344" s="85"/>
      <c r="E344" s="85"/>
      <c r="F344" s="85"/>
      <c r="G344" s="86"/>
    </row>
    <row r="345" spans="1:7" ht="15" customHeight="1" x14ac:dyDescent="0.3">
      <c r="A345" s="58" t="s">
        <v>670</v>
      </c>
      <c r="B345" s="85"/>
      <c r="C345" s="216"/>
      <c r="D345" s="85"/>
      <c r="E345" s="85"/>
      <c r="F345" s="85"/>
      <c r="G345" s="86"/>
    </row>
    <row r="346" spans="1:7" ht="39.950000000000003" customHeight="1" x14ac:dyDescent="0.3">
      <c r="A346" s="252" t="s">
        <v>795</v>
      </c>
      <c r="B346" s="230" t="s">
        <v>888</v>
      </c>
      <c r="C346" s="246" t="s">
        <v>888</v>
      </c>
      <c r="D346" s="230" t="s">
        <v>889</v>
      </c>
      <c r="E346" s="231" t="s">
        <v>889</v>
      </c>
      <c r="F346" s="238" t="s">
        <v>1</v>
      </c>
      <c r="G346" s="239" t="s">
        <v>1</v>
      </c>
    </row>
    <row r="347" spans="1:7" ht="15" customHeight="1" x14ac:dyDescent="0.3">
      <c r="A347" s="242" t="s">
        <v>871</v>
      </c>
      <c r="B347" s="37" t="s">
        <v>74</v>
      </c>
      <c r="C347" s="38" t="s">
        <v>75</v>
      </c>
      <c r="D347" s="36" t="s">
        <v>74</v>
      </c>
      <c r="E347" s="38" t="s">
        <v>75</v>
      </c>
      <c r="F347" s="240" t="s">
        <v>869</v>
      </c>
      <c r="G347" s="241" t="s">
        <v>870</v>
      </c>
    </row>
    <row r="348" spans="1:7" ht="15" customHeight="1" x14ac:dyDescent="0.3">
      <c r="A348" s="87" t="s">
        <v>794</v>
      </c>
      <c r="B348" s="52">
        <v>306707</v>
      </c>
      <c r="C348" s="217">
        <v>0.84112275120666957</v>
      </c>
      <c r="D348" s="43">
        <v>1440350</v>
      </c>
      <c r="E348" s="44">
        <v>0.92096875157853408</v>
      </c>
      <c r="F348" s="51">
        <v>91.330216119167019</v>
      </c>
      <c r="G348" s="47">
        <v>-8.6697838808329806</v>
      </c>
    </row>
    <row r="349" spans="1:7" ht="15" customHeight="1" x14ac:dyDescent="0.3">
      <c r="A349" s="169" t="s">
        <v>813</v>
      </c>
      <c r="B349" s="52">
        <v>11507</v>
      </c>
      <c r="C349" s="217">
        <v>3.1557152259763056E-2</v>
      </c>
      <c r="D349" s="43">
        <v>31445</v>
      </c>
      <c r="E349" s="44">
        <v>2.0106128644695392E-2</v>
      </c>
      <c r="F349" s="51">
        <v>156.95290136367845</v>
      </c>
      <c r="G349" s="47">
        <v>56.95290136367845</v>
      </c>
    </row>
    <row r="350" spans="1:7" ht="15" customHeight="1" x14ac:dyDescent="0.3">
      <c r="A350" s="169" t="s">
        <v>762</v>
      </c>
      <c r="B350" s="52">
        <v>2070</v>
      </c>
      <c r="C350" s="217">
        <v>5.6768319438350156E-3</v>
      </c>
      <c r="D350" s="43">
        <v>5928</v>
      </c>
      <c r="E350" s="44">
        <v>3.7904000828670463E-3</v>
      </c>
      <c r="F350" s="51">
        <v>149.76867401134811</v>
      </c>
      <c r="G350" s="47">
        <v>49.768674011348111</v>
      </c>
    </row>
    <row r="351" spans="1:7" ht="15" customHeight="1" x14ac:dyDescent="0.3">
      <c r="A351" s="169" t="s">
        <v>763</v>
      </c>
      <c r="B351" s="52">
        <v>814</v>
      </c>
      <c r="C351" s="217">
        <v>2.2323387450636245E-3</v>
      </c>
      <c r="D351" s="43">
        <v>1983</v>
      </c>
      <c r="E351" s="44">
        <v>1.2679425378416588E-3</v>
      </c>
      <c r="F351" s="51">
        <v>176.0599300393848</v>
      </c>
      <c r="G351" s="47">
        <v>76.059930039384795</v>
      </c>
    </row>
    <row r="352" spans="1:7" ht="15" customHeight="1" x14ac:dyDescent="0.3">
      <c r="A352" s="169" t="s">
        <v>818</v>
      </c>
      <c r="B352" s="52">
        <v>20755</v>
      </c>
      <c r="C352" s="217">
        <v>5.6919153137340937E-2</v>
      </c>
      <c r="D352" s="43">
        <v>3192</v>
      </c>
      <c r="E352" s="44">
        <v>2.0409846600053325E-3</v>
      </c>
      <c r="F352" s="51">
        <v>2788.8084733175911</v>
      </c>
      <c r="G352" s="47">
        <v>2688.8084733175911</v>
      </c>
    </row>
    <row r="353" spans="1:7" ht="15" customHeight="1" x14ac:dyDescent="0.3">
      <c r="A353" s="169" t="s">
        <v>814</v>
      </c>
      <c r="B353" s="52">
        <v>5675</v>
      </c>
      <c r="C353" s="217">
        <v>1.5563295304958315E-2</v>
      </c>
      <c r="D353" s="43">
        <v>14062</v>
      </c>
      <c r="E353" s="44">
        <v>8.9913302910385306E-3</v>
      </c>
      <c r="F353" s="51">
        <v>173.0922433187659</v>
      </c>
      <c r="G353" s="47">
        <v>73.092243318765895</v>
      </c>
    </row>
    <row r="354" spans="1:7" ht="15" customHeight="1" x14ac:dyDescent="0.3">
      <c r="A354" s="169" t="s">
        <v>816</v>
      </c>
      <c r="B354" s="52">
        <v>838</v>
      </c>
      <c r="C354" s="217">
        <v>2.2981570864414216E-3</v>
      </c>
      <c r="D354" s="43">
        <v>1603</v>
      </c>
      <c r="E354" s="44">
        <v>1.0249681735553097E-3</v>
      </c>
      <c r="F354" s="51">
        <v>224.21740945085139</v>
      </c>
      <c r="G354" s="47">
        <v>124.21740945085139</v>
      </c>
    </row>
    <row r="355" spans="1:7" ht="15" customHeight="1" x14ac:dyDescent="0.3">
      <c r="A355" s="169" t="s">
        <v>815</v>
      </c>
      <c r="B355" s="52">
        <v>1254</v>
      </c>
      <c r="C355" s="217">
        <v>3.4390083369899077E-3</v>
      </c>
      <c r="D355" s="43">
        <v>3162</v>
      </c>
      <c r="E355" s="44">
        <v>2.0218024733511474E-3</v>
      </c>
      <c r="F355" s="51">
        <v>170.09615836950357</v>
      </c>
      <c r="G355" s="47">
        <v>70.09615836950357</v>
      </c>
    </row>
    <row r="356" spans="1:7" ht="15" customHeight="1" x14ac:dyDescent="0.3">
      <c r="A356" s="169" t="s">
        <v>817</v>
      </c>
      <c r="B356" s="52">
        <v>1999</v>
      </c>
      <c r="C356" s="217">
        <v>5.4821193505923647E-3</v>
      </c>
      <c r="D356" s="43">
        <v>4373</v>
      </c>
      <c r="E356" s="44">
        <v>2.7961234079584333E-3</v>
      </c>
      <c r="F356" s="51">
        <v>196.06142329015046</v>
      </c>
      <c r="G356" s="47">
        <v>96.061423290150458</v>
      </c>
    </row>
    <row r="357" spans="1:7" ht="15" customHeight="1" x14ac:dyDescent="0.3">
      <c r="A357" s="169" t="s">
        <v>819</v>
      </c>
      <c r="B357" s="52">
        <v>1282</v>
      </c>
      <c r="C357" s="217">
        <v>3.5157964019306713E-3</v>
      </c>
      <c r="D357" s="43">
        <v>2712</v>
      </c>
      <c r="E357" s="44">
        <v>1.7340696735383652E-3</v>
      </c>
      <c r="F357" s="65">
        <v>202.74827797182434</v>
      </c>
      <c r="G357" s="94">
        <v>102.74827797182434</v>
      </c>
    </row>
    <row r="358" spans="1:7" ht="15" customHeight="1" x14ac:dyDescent="0.3">
      <c r="A358" s="169" t="s">
        <v>820</v>
      </c>
      <c r="B358" s="52">
        <v>2932</v>
      </c>
      <c r="C358" s="217">
        <v>8.0408073716542339E-3</v>
      </c>
      <c r="D358" s="43">
        <v>5565</v>
      </c>
      <c r="E358" s="44">
        <v>3.5582956243514021E-3</v>
      </c>
      <c r="F358" s="51">
        <v>225.97356207917363</v>
      </c>
      <c r="G358" s="47">
        <v>125.97356207917363</v>
      </c>
    </row>
    <row r="359" spans="1:7" ht="15" customHeight="1" x14ac:dyDescent="0.3">
      <c r="A359" s="169" t="s">
        <v>821</v>
      </c>
      <c r="B359" s="52">
        <v>2954</v>
      </c>
      <c r="C359" s="217">
        <v>8.1011408512505489E-3</v>
      </c>
      <c r="D359" s="43">
        <v>8813</v>
      </c>
      <c r="E359" s="44">
        <v>5.6350870327778815E-3</v>
      </c>
      <c r="F359" s="51">
        <v>143.76247969424881</v>
      </c>
      <c r="G359" s="47">
        <v>43.76247969424881</v>
      </c>
    </row>
    <row r="360" spans="1:7" ht="15" customHeight="1" x14ac:dyDescent="0.3">
      <c r="A360" s="169" t="s">
        <v>822</v>
      </c>
      <c r="B360" s="52">
        <v>1277</v>
      </c>
      <c r="C360" s="217">
        <v>3.5020842474769638E-3</v>
      </c>
      <c r="D360" s="43">
        <v>3548</v>
      </c>
      <c r="E360" s="44">
        <v>2.2686132749683333E-3</v>
      </c>
      <c r="F360" s="51">
        <v>154.37114320535076</v>
      </c>
      <c r="G360" s="47">
        <v>54.371143205350762</v>
      </c>
    </row>
    <row r="361" spans="1:7" ht="15" customHeight="1" x14ac:dyDescent="0.3">
      <c r="A361" s="169" t="s">
        <v>823</v>
      </c>
      <c r="B361" s="52">
        <v>52</v>
      </c>
      <c r="C361" s="217">
        <v>1.4260640631856078E-4</v>
      </c>
      <c r="D361" s="43">
        <v>95</v>
      </c>
      <c r="E361" s="44">
        <v>6.0743591071587282E-5</v>
      </c>
      <c r="F361" s="51">
        <v>234.76782291402048</v>
      </c>
      <c r="G361" s="47">
        <v>134.76782291402048</v>
      </c>
    </row>
    <row r="362" spans="1:7" ht="15" customHeight="1" x14ac:dyDescent="0.3">
      <c r="A362" s="169" t="s">
        <v>824</v>
      </c>
      <c r="B362" s="52">
        <v>1386</v>
      </c>
      <c r="C362" s="217">
        <v>3.8010092145677929E-3</v>
      </c>
      <c r="D362" s="43">
        <v>3156</v>
      </c>
      <c r="E362" s="44">
        <v>2.0179660360203099E-3</v>
      </c>
      <c r="F362" s="51">
        <v>188.35843352764624</v>
      </c>
      <c r="G362" s="47">
        <v>88.358433527646241</v>
      </c>
    </row>
    <row r="363" spans="1:7" ht="15" customHeight="1" x14ac:dyDescent="0.3">
      <c r="A363" s="169" t="s">
        <v>825</v>
      </c>
      <c r="B363" s="52">
        <v>166</v>
      </c>
      <c r="C363" s="217">
        <v>4.5524352786309783E-4</v>
      </c>
      <c r="D363" s="43">
        <v>365</v>
      </c>
      <c r="E363" s="44">
        <v>2.333832709592564E-4</v>
      </c>
      <c r="F363" s="51">
        <v>195.06262209452595</v>
      </c>
      <c r="G363" s="47">
        <v>95.062622094525949</v>
      </c>
    </row>
    <row r="364" spans="1:7" ht="15" customHeight="1" x14ac:dyDescent="0.3">
      <c r="A364" s="169" t="s">
        <v>826</v>
      </c>
      <c r="B364" s="52">
        <v>788</v>
      </c>
      <c r="C364" s="217">
        <v>2.1610355419043438E-3</v>
      </c>
      <c r="D364" s="43">
        <v>1786</v>
      </c>
      <c r="E364" s="44">
        <v>1.1419795121458409E-3</v>
      </c>
      <c r="F364" s="51">
        <v>189.23592927193954</v>
      </c>
      <c r="G364" s="47">
        <v>89.23592927193954</v>
      </c>
    </row>
    <row r="365" spans="1:7" ht="15" customHeight="1" x14ac:dyDescent="0.3">
      <c r="A365" s="169" t="s">
        <v>827</v>
      </c>
      <c r="B365" s="52">
        <v>615</v>
      </c>
      <c r="C365" s="217">
        <v>1.6865949978060553E-3</v>
      </c>
      <c r="D365" s="43">
        <v>1141</v>
      </c>
      <c r="E365" s="44">
        <v>7.2956249908085358E-4</v>
      </c>
      <c r="F365" s="51">
        <v>231.17895998367905</v>
      </c>
      <c r="G365" s="47">
        <v>131.17895998367905</v>
      </c>
    </row>
    <row r="366" spans="1:7" ht="15" customHeight="1" x14ac:dyDescent="0.3">
      <c r="A366" s="169" t="s">
        <v>828</v>
      </c>
      <c r="B366" s="52">
        <v>716</v>
      </c>
      <c r="C366" s="217">
        <v>1.9635805177709523E-3</v>
      </c>
      <c r="D366" s="43">
        <v>1870</v>
      </c>
      <c r="E366" s="44">
        <v>1.1956896347775602E-3</v>
      </c>
      <c r="F366" s="51">
        <v>164.22158900258816</v>
      </c>
      <c r="G366" s="47">
        <v>64.221589002588161</v>
      </c>
    </row>
    <row r="367" spans="1:7" ht="15" customHeight="1" x14ac:dyDescent="0.3">
      <c r="A367" s="169" t="s">
        <v>829</v>
      </c>
      <c r="B367" s="52">
        <v>7</v>
      </c>
      <c r="C367" s="217">
        <v>1.9197016235190875E-5</v>
      </c>
      <c r="D367" s="43">
        <v>99</v>
      </c>
      <c r="E367" s="44">
        <v>6.3301215958812013E-5</v>
      </c>
      <c r="F367" s="65">
        <v>30.326457311154549</v>
      </c>
      <c r="G367" s="94">
        <v>-69.673542688845458</v>
      </c>
    </row>
    <row r="368" spans="1:7" ht="15" customHeight="1" x14ac:dyDescent="0.3">
      <c r="A368" s="169" t="s">
        <v>761</v>
      </c>
      <c r="B368" s="52">
        <v>846</v>
      </c>
      <c r="C368" s="217">
        <v>2.3200965335673542E-3</v>
      </c>
      <c r="D368" s="43">
        <v>1794</v>
      </c>
      <c r="E368" s="44">
        <v>1.1470947619202903E-3</v>
      </c>
      <c r="F368" s="51">
        <v>202.25848906182816</v>
      </c>
      <c r="G368" s="47">
        <v>102.25848906182816</v>
      </c>
    </row>
    <row r="369" spans="1:7" ht="15" customHeight="1" x14ac:dyDescent="0.3">
      <c r="A369" s="64" t="s">
        <v>2</v>
      </c>
      <c r="B369" s="229">
        <v>364640</v>
      </c>
      <c r="C369" s="228"/>
      <c r="D369" s="227">
        <v>1563951</v>
      </c>
      <c r="E369" s="228"/>
      <c r="F369" s="60"/>
      <c r="G369" s="48"/>
    </row>
    <row r="370" spans="1:7" ht="15" customHeight="1" x14ac:dyDescent="0.3">
      <c r="A370" s="58"/>
      <c r="B370" s="85"/>
      <c r="C370" s="216"/>
      <c r="D370" s="85"/>
      <c r="E370" s="85"/>
      <c r="F370" s="85"/>
      <c r="G370" s="86"/>
    </row>
    <row r="371" spans="1:7" ht="39.950000000000003" customHeight="1" x14ac:dyDescent="0.3">
      <c r="A371" s="252" t="s">
        <v>857</v>
      </c>
      <c r="B371" s="230" t="s">
        <v>888</v>
      </c>
      <c r="C371" s="246" t="s">
        <v>888</v>
      </c>
      <c r="D371" s="230" t="s">
        <v>889</v>
      </c>
      <c r="E371" s="231" t="s">
        <v>889</v>
      </c>
      <c r="F371" s="238" t="s">
        <v>1</v>
      </c>
      <c r="G371" s="239" t="s">
        <v>1</v>
      </c>
    </row>
    <row r="372" spans="1:7" ht="15" customHeight="1" x14ac:dyDescent="0.3">
      <c r="A372" s="242" t="s">
        <v>871</v>
      </c>
      <c r="B372" s="37" t="s">
        <v>74</v>
      </c>
      <c r="C372" s="38" t="s">
        <v>75</v>
      </c>
      <c r="D372" s="36" t="s">
        <v>74</v>
      </c>
      <c r="E372" s="38" t="s">
        <v>75</v>
      </c>
      <c r="F372" s="240" t="s">
        <v>869</v>
      </c>
      <c r="G372" s="241" t="s">
        <v>870</v>
      </c>
    </row>
    <row r="373" spans="1:7" ht="15" customHeight="1" x14ac:dyDescent="0.3">
      <c r="A373" s="87" t="s">
        <v>794</v>
      </c>
      <c r="B373" s="52">
        <v>306707</v>
      </c>
      <c r="C373" s="217">
        <v>0.84112275120666968</v>
      </c>
      <c r="D373" s="43">
        <v>1408905</v>
      </c>
      <c r="E373" s="44">
        <v>0.90086262293383867</v>
      </c>
      <c r="F373" s="51">
        <v>93.368592479437737</v>
      </c>
      <c r="G373" s="47">
        <v>-6.6314075205622629</v>
      </c>
    </row>
    <row r="374" spans="1:7" ht="15" customHeight="1" x14ac:dyDescent="0.3">
      <c r="A374" s="87" t="s">
        <v>796</v>
      </c>
      <c r="B374" s="52">
        <v>11507</v>
      </c>
      <c r="C374" s="217">
        <v>3.1557152259763056E-2</v>
      </c>
      <c r="D374" s="43">
        <v>31445</v>
      </c>
      <c r="E374" s="44">
        <v>2.0106128644695392E-2</v>
      </c>
      <c r="F374" s="51">
        <v>156.95290136367845</v>
      </c>
      <c r="G374" s="47">
        <v>56.95290136367845</v>
      </c>
    </row>
    <row r="375" spans="1:7" ht="15" customHeight="1" x14ac:dyDescent="0.3">
      <c r="A375" s="87" t="s">
        <v>851</v>
      </c>
      <c r="B375" s="52">
        <v>2806</v>
      </c>
      <c r="C375" s="217">
        <v>1.5335673541026766E-2</v>
      </c>
      <c r="D375" s="43">
        <v>15845</v>
      </c>
      <c r="E375" s="44">
        <v>1.0131391584518952E-2</v>
      </c>
      <c r="F375" s="51">
        <v>151.36788873564123</v>
      </c>
      <c r="G375" s="47">
        <v>51.36788873564123</v>
      </c>
    </row>
    <row r="376" spans="1:7" ht="15" customHeight="1" x14ac:dyDescent="0.3">
      <c r="A376" s="87" t="s">
        <v>855</v>
      </c>
      <c r="B376" s="52">
        <v>5417</v>
      </c>
      <c r="C376" s="217">
        <v>1.4855748135146993E-2</v>
      </c>
      <c r="D376" s="43">
        <v>14133</v>
      </c>
      <c r="E376" s="44">
        <v>9.0367281327867702E-3</v>
      </c>
      <c r="F376" s="51">
        <v>164.39299619126351</v>
      </c>
      <c r="G376" s="47">
        <v>64.392996191263506</v>
      </c>
    </row>
    <row r="377" spans="1:7" ht="15" customHeight="1" x14ac:dyDescent="0.3">
      <c r="A377" s="87" t="s">
        <v>769</v>
      </c>
      <c r="B377" s="52">
        <v>4198</v>
      </c>
      <c r="C377" s="217">
        <v>1.1512724879333041E-2</v>
      </c>
      <c r="D377" s="43">
        <v>15420</v>
      </c>
      <c r="E377" s="44">
        <v>9.8596439402513242E-3</v>
      </c>
      <c r="F377" s="51">
        <v>116.76613221632807</v>
      </c>
      <c r="G377" s="47">
        <v>16.766132216328074</v>
      </c>
    </row>
    <row r="378" spans="1:7" ht="15" customHeight="1" x14ac:dyDescent="0.3">
      <c r="A378" s="87" t="s">
        <v>797</v>
      </c>
      <c r="B378" s="52">
        <v>2833</v>
      </c>
      <c r="C378" s="217">
        <v>7.7693067134708207E-3</v>
      </c>
      <c r="D378" s="43">
        <v>5160</v>
      </c>
      <c r="E378" s="44">
        <v>3.2993361045198987E-3</v>
      </c>
      <c r="F378" s="51">
        <v>235.48091092712022</v>
      </c>
      <c r="G378" s="47">
        <v>135.48091092712022</v>
      </c>
    </row>
    <row r="379" spans="1:7" ht="15" customHeight="1" x14ac:dyDescent="0.3">
      <c r="A379" s="87" t="s">
        <v>850</v>
      </c>
      <c r="B379" s="52">
        <v>2786</v>
      </c>
      <c r="C379" s="217">
        <v>7.6404124616059679E-3</v>
      </c>
      <c r="D379" s="43">
        <v>5547</v>
      </c>
      <c r="E379" s="44">
        <v>3.546786312358891E-3</v>
      </c>
      <c r="F379" s="51">
        <v>215.41789633569707</v>
      </c>
      <c r="G379" s="47">
        <v>115.41789633569707</v>
      </c>
    </row>
    <row r="380" spans="1:7" ht="15" customHeight="1" x14ac:dyDescent="0.3">
      <c r="A380" s="87" t="s">
        <v>766</v>
      </c>
      <c r="B380" s="52">
        <v>2408</v>
      </c>
      <c r="C380" s="217">
        <v>6.6037735849056606E-3</v>
      </c>
      <c r="D380" s="43">
        <v>5292</v>
      </c>
      <c r="E380" s="44">
        <v>3.3837377257983146E-3</v>
      </c>
      <c r="F380" s="51">
        <v>195.16209943096737</v>
      </c>
      <c r="G380" s="47">
        <v>95.162099430967373</v>
      </c>
    </row>
    <row r="381" spans="1:7" ht="15" customHeight="1" x14ac:dyDescent="0.3">
      <c r="A381" s="87" t="s">
        <v>653</v>
      </c>
      <c r="B381" s="52">
        <v>2102</v>
      </c>
      <c r="C381" s="217">
        <v>5.7645897323387449E-3</v>
      </c>
      <c r="D381" s="43">
        <v>3630</v>
      </c>
      <c r="E381" s="44">
        <v>2.3210445851564402E-3</v>
      </c>
      <c r="F381" s="51">
        <v>248.36186987550724</v>
      </c>
      <c r="G381" s="47">
        <v>148.36186987550724</v>
      </c>
    </row>
    <row r="382" spans="1:7" ht="15" customHeight="1" x14ac:dyDescent="0.3">
      <c r="A382" s="87" t="s">
        <v>798</v>
      </c>
      <c r="B382" s="52">
        <v>2070</v>
      </c>
      <c r="C382" s="217">
        <v>5.6768319438350156E-3</v>
      </c>
      <c r="D382" s="43">
        <v>5928</v>
      </c>
      <c r="E382" s="44">
        <v>3.7904000828670463E-3</v>
      </c>
      <c r="F382" s="65">
        <v>149.76867401134811</v>
      </c>
      <c r="G382" s="94">
        <v>49.768674011348111</v>
      </c>
    </row>
    <row r="383" spans="1:7" ht="15" customHeight="1" x14ac:dyDescent="0.3">
      <c r="A383" s="87" t="s">
        <v>770</v>
      </c>
      <c r="B383" s="52">
        <v>1897</v>
      </c>
      <c r="C383" s="217">
        <v>5.202391399736727E-3</v>
      </c>
      <c r="D383" s="43">
        <v>8363</v>
      </c>
      <c r="E383" s="44">
        <v>5.3473542329650989E-3</v>
      </c>
      <c r="F383" s="51">
        <v>97.289073681808617</v>
      </c>
      <c r="G383" s="47">
        <v>-2.7109263181913832</v>
      </c>
    </row>
    <row r="384" spans="1:7" ht="15" customHeight="1" x14ac:dyDescent="0.3">
      <c r="A384" s="87" t="s">
        <v>764</v>
      </c>
      <c r="B384" s="52">
        <v>1539</v>
      </c>
      <c r="C384" s="217">
        <v>4.2206011408512508E-3</v>
      </c>
      <c r="D384" s="43">
        <v>3192</v>
      </c>
      <c r="E384" s="44">
        <v>2.0409846600053325E-3</v>
      </c>
      <c r="F384" s="51">
        <v>206.79239896101049</v>
      </c>
      <c r="G384" s="47">
        <v>106.79239896101049</v>
      </c>
    </row>
    <row r="385" spans="1:7" ht="15" customHeight="1" x14ac:dyDescent="0.3">
      <c r="A385" s="87" t="s">
        <v>654</v>
      </c>
      <c r="B385" s="52">
        <v>1436</v>
      </c>
      <c r="C385" s="217">
        <v>3.9381307591048707E-3</v>
      </c>
      <c r="D385" s="43">
        <v>4666</v>
      </c>
      <c r="E385" s="44">
        <v>2.9834694309476446E-3</v>
      </c>
      <c r="F385" s="51">
        <v>131.99836131231936</v>
      </c>
      <c r="G385" s="47">
        <v>31.998361312319361</v>
      </c>
    </row>
    <row r="386" spans="1:7" ht="15" customHeight="1" x14ac:dyDescent="0.3">
      <c r="A386" s="87" t="s">
        <v>789</v>
      </c>
      <c r="B386" s="52">
        <v>1061</v>
      </c>
      <c r="C386" s="217">
        <v>2.909719175076788E-3</v>
      </c>
      <c r="D386" s="43">
        <v>2385</v>
      </c>
      <c r="E386" s="44">
        <v>1.5249838390077439E-3</v>
      </c>
      <c r="F386" s="51">
        <v>190.80327939540956</v>
      </c>
      <c r="G386" s="47">
        <v>90.803279395409561</v>
      </c>
    </row>
    <row r="387" spans="1:7" ht="15" customHeight="1" x14ac:dyDescent="0.3">
      <c r="A387" s="87" t="s">
        <v>775</v>
      </c>
      <c r="B387" s="52">
        <v>1049</v>
      </c>
      <c r="C387" s="217">
        <v>2.8768100043878894E-3</v>
      </c>
      <c r="D387" s="43">
        <v>1359</v>
      </c>
      <c r="E387" s="44">
        <v>8.6895305543460124E-4</v>
      </c>
      <c r="F387" s="51">
        <v>331.06621656898045</v>
      </c>
      <c r="G387" s="47">
        <v>231.06621656898045</v>
      </c>
    </row>
    <row r="388" spans="1:7" ht="15" customHeight="1" x14ac:dyDescent="0.3">
      <c r="A388" s="87" t="s">
        <v>767</v>
      </c>
      <c r="B388" s="52">
        <v>977</v>
      </c>
      <c r="C388" s="217">
        <v>2.6793549802544975E-3</v>
      </c>
      <c r="D388" s="43">
        <v>3085</v>
      </c>
      <c r="E388" s="44">
        <v>1.9725681942720712E-3</v>
      </c>
      <c r="F388" s="51">
        <v>135.83079094729339</v>
      </c>
      <c r="G388" s="47">
        <v>35.830790947293394</v>
      </c>
    </row>
    <row r="389" spans="1:7" ht="15" customHeight="1" x14ac:dyDescent="0.3">
      <c r="A389" s="87" t="s">
        <v>763</v>
      </c>
      <c r="B389" s="52">
        <v>814</v>
      </c>
      <c r="C389" s="217">
        <v>2.2323387450636245E-3</v>
      </c>
      <c r="D389" s="43">
        <v>1983</v>
      </c>
      <c r="E389" s="44">
        <v>1.2679425378416588E-3</v>
      </c>
      <c r="F389" s="51">
        <v>176.0599300393848</v>
      </c>
      <c r="G389" s="47">
        <v>76.059930039384795</v>
      </c>
    </row>
    <row r="390" spans="1:7" ht="15" customHeight="1" x14ac:dyDescent="0.3">
      <c r="A390" s="87" t="s">
        <v>655</v>
      </c>
      <c r="B390" s="52">
        <v>792</v>
      </c>
      <c r="C390" s="217">
        <v>2.1720052654673103E-3</v>
      </c>
      <c r="D390" s="43">
        <v>1834</v>
      </c>
      <c r="E390" s="44">
        <v>1.1726710107925376E-3</v>
      </c>
      <c r="F390" s="51">
        <v>185.21863723734273</v>
      </c>
      <c r="G390" s="47">
        <v>85.218637237342733</v>
      </c>
    </row>
    <row r="391" spans="1:7" ht="15" customHeight="1" x14ac:dyDescent="0.3">
      <c r="A391" s="87" t="s">
        <v>799</v>
      </c>
      <c r="B391" s="52">
        <v>790</v>
      </c>
      <c r="C391" s="217">
        <v>2.1665204036858273E-3</v>
      </c>
      <c r="D391" s="43">
        <v>1524</v>
      </c>
      <c r="E391" s="44">
        <v>9.744550820326212E-4</v>
      </c>
      <c r="F391" s="51">
        <v>222.33147978115838</v>
      </c>
      <c r="G391" s="47">
        <v>122.33147978115838</v>
      </c>
    </row>
    <row r="392" spans="1:7" ht="15" customHeight="1" x14ac:dyDescent="0.3">
      <c r="A392" s="87" t="s">
        <v>809</v>
      </c>
      <c r="B392" s="52">
        <v>788</v>
      </c>
      <c r="C392" s="217">
        <v>2.1610355419043438E-3</v>
      </c>
      <c r="D392" s="43">
        <v>1786</v>
      </c>
      <c r="E392" s="44">
        <v>1.1419795121458409E-3</v>
      </c>
      <c r="F392" s="65">
        <v>189.23592927193954</v>
      </c>
      <c r="G392" s="94">
        <v>89.23592927193954</v>
      </c>
    </row>
    <row r="393" spans="1:7" x14ac:dyDescent="0.3">
      <c r="A393" s="64" t="s">
        <v>2</v>
      </c>
      <c r="B393" s="229">
        <v>364640</v>
      </c>
      <c r="C393" s="228"/>
      <c r="D393" s="227">
        <v>1563951</v>
      </c>
      <c r="E393" s="228"/>
      <c r="F393" s="60"/>
      <c r="G393" s="48"/>
    </row>
    <row r="394" spans="1:7" s="174" customFormat="1" ht="13.5" customHeight="1" x14ac:dyDescent="0.35">
      <c r="A394" s="280" t="s">
        <v>902</v>
      </c>
      <c r="B394" s="280"/>
      <c r="C394" s="280"/>
      <c r="D394" s="280"/>
      <c r="E394" s="280"/>
      <c r="F394" s="280"/>
      <c r="G394" s="280"/>
    </row>
    <row r="395" spans="1:7" s="174" customFormat="1" ht="13.5" customHeight="1" x14ac:dyDescent="0.35">
      <c r="A395" s="276"/>
      <c r="B395" s="276"/>
      <c r="C395" s="276"/>
      <c r="D395" s="276"/>
      <c r="E395" s="276"/>
      <c r="F395" s="276"/>
      <c r="G395" s="276"/>
    </row>
    <row r="396" spans="1:7" s="174" customFormat="1" ht="13.5" customHeight="1" x14ac:dyDescent="0.35">
      <c r="A396" s="276"/>
      <c r="B396" s="276"/>
      <c r="C396" s="276"/>
      <c r="D396" s="276"/>
      <c r="E396" s="276"/>
      <c r="F396" s="276"/>
      <c r="G396" s="276"/>
    </row>
    <row r="397" spans="1:7" s="174" customFormat="1" ht="13.5" customHeight="1" x14ac:dyDescent="0.35">
      <c r="A397" s="276"/>
      <c r="B397" s="276"/>
      <c r="C397" s="276"/>
      <c r="D397" s="276"/>
      <c r="E397" s="276"/>
      <c r="F397" s="276"/>
      <c r="G397" s="276"/>
    </row>
    <row r="398" spans="1:7" s="174" customFormat="1" ht="13.5" customHeight="1" x14ac:dyDescent="0.35">
      <c r="A398" s="276"/>
      <c r="B398" s="276"/>
      <c r="C398" s="276"/>
      <c r="D398" s="276"/>
      <c r="E398" s="276"/>
      <c r="F398" s="276"/>
      <c r="G398" s="276"/>
    </row>
    <row r="399" spans="1:7" ht="15" customHeight="1" x14ac:dyDescent="0.3">
      <c r="A399" s="143" t="s">
        <v>463</v>
      </c>
      <c r="B399" s="9"/>
      <c r="C399" s="213"/>
      <c r="D399" s="9"/>
      <c r="E399" s="9"/>
      <c r="F399" s="9"/>
    </row>
    <row r="400" spans="1:7" x14ac:dyDescent="0.3">
      <c r="A400" s="11" t="s">
        <v>508</v>
      </c>
      <c r="B400" s="11"/>
      <c r="C400" s="212"/>
      <c r="D400" s="11"/>
      <c r="E400" s="11"/>
      <c r="F400" s="11"/>
      <c r="G400" s="58"/>
    </row>
    <row r="401" spans="1:7" ht="39.950000000000003" customHeight="1" x14ac:dyDescent="0.3">
      <c r="A401" s="252" t="s">
        <v>508</v>
      </c>
      <c r="B401" s="230" t="s">
        <v>888</v>
      </c>
      <c r="C401" s="246" t="s">
        <v>888</v>
      </c>
      <c r="D401" s="230" t="s">
        <v>889</v>
      </c>
      <c r="E401" s="231" t="s">
        <v>889</v>
      </c>
      <c r="F401" s="238" t="s">
        <v>1</v>
      </c>
      <c r="G401" s="239" t="s">
        <v>1</v>
      </c>
    </row>
    <row r="402" spans="1:7" x14ac:dyDescent="0.3">
      <c r="A402" s="242" t="s">
        <v>871</v>
      </c>
      <c r="B402" s="37" t="s">
        <v>74</v>
      </c>
      <c r="C402" s="38" t="s">
        <v>75</v>
      </c>
      <c r="D402" s="36" t="s">
        <v>74</v>
      </c>
      <c r="E402" s="38" t="s">
        <v>75</v>
      </c>
      <c r="F402" s="240" t="s">
        <v>869</v>
      </c>
      <c r="G402" s="241" t="s">
        <v>870</v>
      </c>
    </row>
    <row r="403" spans="1:7" x14ac:dyDescent="0.3">
      <c r="A403" s="73" t="s">
        <v>509</v>
      </c>
      <c r="B403" s="70">
        <v>88549</v>
      </c>
      <c r="C403" s="50">
        <v>0.25443871994758877</v>
      </c>
      <c r="D403" s="70">
        <v>313352</v>
      </c>
      <c r="E403" s="50">
        <v>0.21185902658379416</v>
      </c>
      <c r="F403" s="51">
        <v>120.09812565005511</v>
      </c>
      <c r="G403" s="47">
        <v>20.09812565005511</v>
      </c>
    </row>
    <row r="404" spans="1:7" x14ac:dyDescent="0.3">
      <c r="A404" s="146" t="s">
        <v>522</v>
      </c>
      <c r="B404" s="70">
        <v>27294.857771248255</v>
      </c>
      <c r="C404" s="50">
        <v>7.8429668008310666E-2</v>
      </c>
      <c r="D404" s="70">
        <v>124973.39360013069</v>
      </c>
      <c r="E404" s="50">
        <v>8.4495205127131975E-2</v>
      </c>
      <c r="F404" s="51">
        <v>92.821442223029024</v>
      </c>
      <c r="G404" s="47">
        <v>-7.1785577769709761</v>
      </c>
    </row>
    <row r="405" spans="1:7" x14ac:dyDescent="0.3">
      <c r="A405" s="108" t="s">
        <v>523</v>
      </c>
      <c r="B405" s="70">
        <v>17346.44382336663</v>
      </c>
      <c r="C405" s="50">
        <v>4.9843668048878728E-2</v>
      </c>
      <c r="D405" s="70">
        <v>85370.379617841274</v>
      </c>
      <c r="E405" s="50">
        <v>5.7719387541566136E-2</v>
      </c>
      <c r="F405" s="51">
        <v>86.355157550804279</v>
      </c>
      <c r="G405" s="47">
        <v>-13.644842449195721</v>
      </c>
    </row>
    <row r="406" spans="1:7" ht="30" x14ac:dyDescent="0.3">
      <c r="A406" s="108" t="s">
        <v>512</v>
      </c>
      <c r="B406" s="70">
        <v>43907.698405385119</v>
      </c>
      <c r="C406" s="50">
        <v>0.12616538389039939</v>
      </c>
      <c r="D406" s="70">
        <v>103008.22678202802</v>
      </c>
      <c r="E406" s="50">
        <v>6.9644433915096032E-2</v>
      </c>
      <c r="F406" s="51">
        <v>181.15644969447004</v>
      </c>
      <c r="G406" s="47">
        <v>81.156449694470041</v>
      </c>
    </row>
    <row r="407" spans="1:7" x14ac:dyDescent="0.3">
      <c r="A407" s="81" t="s">
        <v>510</v>
      </c>
      <c r="B407" s="70">
        <v>259468</v>
      </c>
      <c r="C407" s="50">
        <v>0.74556128005241118</v>
      </c>
      <c r="D407" s="70">
        <v>1165707</v>
      </c>
      <c r="E407" s="50">
        <v>0.78814097341620581</v>
      </c>
      <c r="F407" s="51">
        <v>94.597452131027708</v>
      </c>
      <c r="G407" s="47">
        <v>-5.4025478689722917</v>
      </c>
    </row>
    <row r="408" spans="1:7" x14ac:dyDescent="0.3">
      <c r="A408" s="64" t="s">
        <v>511</v>
      </c>
      <c r="B408" s="229">
        <v>348017</v>
      </c>
      <c r="C408" s="228"/>
      <c r="D408" s="229">
        <v>1479059</v>
      </c>
      <c r="E408" s="228"/>
      <c r="F408" s="60"/>
      <c r="G408" s="48"/>
    </row>
    <row r="409" spans="1:7" ht="45" customHeight="1" x14ac:dyDescent="0.35">
      <c r="A409" s="282" t="s">
        <v>524</v>
      </c>
      <c r="B409" s="282"/>
      <c r="C409" s="282"/>
      <c r="D409" s="282"/>
      <c r="E409" s="282"/>
      <c r="F409" s="282"/>
      <c r="G409" s="282"/>
    </row>
    <row r="410" spans="1:7" x14ac:dyDescent="0.3">
      <c r="A410" s="14"/>
      <c r="B410" s="2"/>
      <c r="C410" s="214"/>
    </row>
    <row r="411" spans="1:7" ht="15" customHeight="1" x14ac:dyDescent="0.3">
      <c r="A411" s="9" t="s">
        <v>113</v>
      </c>
      <c r="B411" s="9"/>
      <c r="C411" s="213"/>
      <c r="D411" s="9"/>
      <c r="E411" s="9"/>
      <c r="F411" s="9"/>
    </row>
    <row r="412" spans="1:7" ht="39.950000000000003" customHeight="1" x14ac:dyDescent="0.3">
      <c r="A412" s="252" t="s">
        <v>114</v>
      </c>
      <c r="B412" s="230" t="s">
        <v>888</v>
      </c>
      <c r="C412" s="246" t="s">
        <v>888</v>
      </c>
      <c r="D412" s="230" t="s">
        <v>889</v>
      </c>
      <c r="E412" s="231" t="s">
        <v>889</v>
      </c>
      <c r="F412" s="238" t="s">
        <v>1</v>
      </c>
      <c r="G412" s="239" t="s">
        <v>1</v>
      </c>
    </row>
    <row r="413" spans="1:7" ht="14.45" customHeight="1" x14ac:dyDescent="0.3">
      <c r="A413" s="242" t="s">
        <v>871</v>
      </c>
      <c r="B413" s="37" t="s">
        <v>74</v>
      </c>
      <c r="C413" s="38" t="s">
        <v>75</v>
      </c>
      <c r="D413" s="36" t="s">
        <v>74</v>
      </c>
      <c r="E413" s="38" t="s">
        <v>75</v>
      </c>
      <c r="F413" s="240" t="s">
        <v>869</v>
      </c>
      <c r="G413" s="241" t="s">
        <v>870</v>
      </c>
    </row>
    <row r="414" spans="1:7" x14ac:dyDescent="0.3">
      <c r="A414" s="75" t="s">
        <v>31</v>
      </c>
      <c r="B414" s="70">
        <v>40415</v>
      </c>
      <c r="C414" s="50">
        <v>0.1319178104548496</v>
      </c>
      <c r="D414" s="52">
        <v>192402</v>
      </c>
      <c r="E414" s="50">
        <v>0.14989704423864544</v>
      </c>
      <c r="F414" s="51">
        <v>88.005611534826684</v>
      </c>
      <c r="G414" s="47">
        <v>-11.994388465173316</v>
      </c>
    </row>
    <row r="415" spans="1:7" ht="28.9" customHeight="1" x14ac:dyDescent="0.3">
      <c r="A415" s="75" t="s">
        <v>115</v>
      </c>
      <c r="B415" s="70">
        <v>20969</v>
      </c>
      <c r="C415" s="44">
        <v>6.8444502472540927E-2</v>
      </c>
      <c r="D415" s="52">
        <v>112559</v>
      </c>
      <c r="E415" s="44">
        <v>8.7692754765842845E-2</v>
      </c>
      <c r="F415" s="51">
        <v>78.050350516757518</v>
      </c>
      <c r="G415" s="47">
        <v>-21.949649483242482</v>
      </c>
    </row>
    <row r="416" spans="1:7" ht="30" x14ac:dyDescent="0.3">
      <c r="A416" s="75" t="s">
        <v>116</v>
      </c>
      <c r="B416" s="70">
        <v>30747</v>
      </c>
      <c r="C416" s="44">
        <v>0.10036068088717706</v>
      </c>
      <c r="D416" s="52">
        <v>167301</v>
      </c>
      <c r="E416" s="44">
        <v>0.13034129270054171</v>
      </c>
      <c r="F416" s="51">
        <v>76.998377726508423</v>
      </c>
      <c r="G416" s="47">
        <v>-23.001622273491577</v>
      </c>
    </row>
    <row r="417" spans="1:7" x14ac:dyDescent="0.3">
      <c r="A417" s="75" t="s">
        <v>117</v>
      </c>
      <c r="B417" s="70">
        <v>10996</v>
      </c>
      <c r="C417" s="44">
        <v>3.5891828374651151E-2</v>
      </c>
      <c r="D417" s="52">
        <v>65764</v>
      </c>
      <c r="E417" s="44">
        <v>5.123558599863972E-2</v>
      </c>
      <c r="F417" s="51">
        <v>70.052538045732632</v>
      </c>
      <c r="G417" s="47">
        <v>-29.947461954267368</v>
      </c>
    </row>
    <row r="418" spans="1:7" ht="30" x14ac:dyDescent="0.3">
      <c r="A418" s="75" t="s">
        <v>118</v>
      </c>
      <c r="B418" s="70">
        <v>61449</v>
      </c>
      <c r="C418" s="44">
        <v>0.20057447815514173</v>
      </c>
      <c r="D418" s="52">
        <v>241348</v>
      </c>
      <c r="E418" s="44">
        <v>0.18803001960950824</v>
      </c>
      <c r="F418" s="51">
        <v>106.67151903280403</v>
      </c>
      <c r="G418" s="47">
        <v>6.6715190328040279</v>
      </c>
    </row>
    <row r="419" spans="1:7" ht="30" x14ac:dyDescent="0.3">
      <c r="A419" s="75" t="s">
        <v>119</v>
      </c>
      <c r="B419" s="70">
        <v>135468</v>
      </c>
      <c r="C419" s="44">
        <v>0.44217844727694089</v>
      </c>
      <c r="D419" s="52">
        <v>473478</v>
      </c>
      <c r="E419" s="44">
        <v>0.36887845610765674</v>
      </c>
      <c r="F419" s="51">
        <v>119.87104151940271</v>
      </c>
      <c r="G419" s="47">
        <v>19.871041519402709</v>
      </c>
    </row>
    <row r="420" spans="1:7" x14ac:dyDescent="0.3">
      <c r="A420" s="76" t="s">
        <v>32</v>
      </c>
      <c r="B420" s="72">
        <v>6321</v>
      </c>
      <c r="C420" s="55">
        <v>2.0632252378698611E-2</v>
      </c>
      <c r="D420" s="52">
        <v>30709</v>
      </c>
      <c r="E420" s="55">
        <v>2.3924846579165306E-2</v>
      </c>
      <c r="F420" s="51">
        <v>86.237762530381218</v>
      </c>
      <c r="G420" s="47">
        <v>-13.762237469618782</v>
      </c>
    </row>
    <row r="421" spans="1:7" x14ac:dyDescent="0.3">
      <c r="A421" s="64" t="s">
        <v>30</v>
      </c>
      <c r="B421" s="229">
        <v>306365</v>
      </c>
      <c r="C421" s="228"/>
      <c r="D421" s="229">
        <v>1283561</v>
      </c>
      <c r="E421" s="228"/>
      <c r="F421" s="60"/>
      <c r="G421" s="48"/>
    </row>
    <row r="422" spans="1:7" ht="15.75" x14ac:dyDescent="0.35">
      <c r="A422" s="279" t="s">
        <v>141</v>
      </c>
      <c r="B422" s="279"/>
      <c r="C422" s="279"/>
      <c r="D422" s="279"/>
      <c r="E422" s="279"/>
      <c r="F422" s="279"/>
      <c r="G422" s="145"/>
    </row>
    <row r="423" spans="1:7" ht="15.75" x14ac:dyDescent="0.35">
      <c r="A423" s="281" t="s">
        <v>142</v>
      </c>
      <c r="B423" s="281"/>
      <c r="C423" s="281"/>
      <c r="D423" s="281"/>
      <c r="E423" s="281"/>
      <c r="F423" s="281"/>
      <c r="G423" s="281"/>
    </row>
    <row r="425" spans="1:7" x14ac:dyDescent="0.3">
      <c r="A425" s="9" t="s">
        <v>221</v>
      </c>
      <c r="B425" s="11"/>
      <c r="C425" s="212"/>
      <c r="D425" s="11"/>
      <c r="E425" s="11"/>
      <c r="F425" s="11"/>
    </row>
    <row r="426" spans="1:7" ht="39.950000000000003" customHeight="1" x14ac:dyDescent="0.3">
      <c r="A426" s="252" t="s">
        <v>221</v>
      </c>
      <c r="B426" s="230" t="s">
        <v>888</v>
      </c>
      <c r="C426" s="246" t="s">
        <v>888</v>
      </c>
      <c r="D426" s="230" t="s">
        <v>889</v>
      </c>
      <c r="E426" s="231" t="s">
        <v>889</v>
      </c>
      <c r="F426" s="238" t="s">
        <v>1</v>
      </c>
      <c r="G426" s="239" t="s">
        <v>1</v>
      </c>
    </row>
    <row r="427" spans="1:7" x14ac:dyDescent="0.3">
      <c r="A427" s="242" t="s">
        <v>871</v>
      </c>
      <c r="B427" s="37" t="s">
        <v>74</v>
      </c>
      <c r="C427" s="38" t="s">
        <v>75</v>
      </c>
      <c r="D427" s="36" t="s">
        <v>74</v>
      </c>
      <c r="E427" s="38" t="s">
        <v>75</v>
      </c>
      <c r="F427" s="240" t="s">
        <v>869</v>
      </c>
      <c r="G427" s="241" t="s">
        <v>870</v>
      </c>
    </row>
    <row r="428" spans="1:7" x14ac:dyDescent="0.3">
      <c r="A428" s="75" t="s">
        <v>222</v>
      </c>
      <c r="B428" s="70">
        <v>130827</v>
      </c>
      <c r="C428" s="50">
        <v>0.42705912307732485</v>
      </c>
      <c r="D428" s="52">
        <v>525857</v>
      </c>
      <c r="E428" s="50">
        <v>0.40963432142292378</v>
      </c>
      <c r="F428" s="51">
        <v>104.25374553427883</v>
      </c>
      <c r="G428" s="47">
        <v>4.2537455342788348</v>
      </c>
    </row>
    <row r="429" spans="1:7" x14ac:dyDescent="0.3">
      <c r="A429" s="75" t="s">
        <v>223</v>
      </c>
      <c r="B429" s="70">
        <v>47701</v>
      </c>
      <c r="C429" s="44">
        <v>0.15571057373410283</v>
      </c>
      <c r="D429" s="52">
        <v>211997</v>
      </c>
      <c r="E429" s="44">
        <v>0.16514232431762926</v>
      </c>
      <c r="F429" s="51">
        <v>94.288713918434553</v>
      </c>
      <c r="G429" s="47">
        <v>-5.7112860815654471</v>
      </c>
    </row>
    <row r="430" spans="1:7" x14ac:dyDescent="0.3">
      <c r="A430" s="75" t="s">
        <v>105</v>
      </c>
      <c r="B430" s="70">
        <v>7583</v>
      </c>
      <c r="C430" s="44">
        <v>2.4753218603922388E-2</v>
      </c>
      <c r="D430" s="52">
        <v>28130</v>
      </c>
      <c r="E430" s="44">
        <v>2.1912826988376776E-2</v>
      </c>
      <c r="F430" s="51">
        <v>112.96223265511219</v>
      </c>
      <c r="G430" s="47">
        <v>12.962232655112189</v>
      </c>
    </row>
    <row r="431" spans="1:7" x14ac:dyDescent="0.3">
      <c r="A431" s="75" t="s">
        <v>110</v>
      </c>
      <c r="B431" s="70">
        <v>48046</v>
      </c>
      <c r="C431" s="44">
        <v>0.1568367586765205</v>
      </c>
      <c r="D431" s="52">
        <v>121488</v>
      </c>
      <c r="E431" s="44">
        <v>9.4637238718944819E-2</v>
      </c>
      <c r="F431" s="51">
        <v>165.72414918222287</v>
      </c>
      <c r="G431" s="47">
        <v>65.724149182222874</v>
      </c>
    </row>
    <row r="432" spans="1:7" x14ac:dyDescent="0.3">
      <c r="A432" s="75" t="s">
        <v>109</v>
      </c>
      <c r="B432" s="70">
        <v>41015</v>
      </c>
      <c r="C432" s="44">
        <v>0.1338854359804664</v>
      </c>
      <c r="D432" s="52">
        <v>269962</v>
      </c>
      <c r="E432" s="44">
        <v>0.21029614644280736</v>
      </c>
      <c r="F432" s="51">
        <v>63.665187520151825</v>
      </c>
      <c r="G432" s="47">
        <v>-36.334812479848175</v>
      </c>
    </row>
    <row r="433" spans="1:7" x14ac:dyDescent="0.3">
      <c r="A433" s="75" t="s">
        <v>111</v>
      </c>
      <c r="B433" s="70">
        <v>10956</v>
      </c>
      <c r="C433" s="44">
        <v>3.5763716606168228E-2</v>
      </c>
      <c r="D433" s="52">
        <v>46815</v>
      </c>
      <c r="E433" s="44">
        <v>3.6468147723457474E-2</v>
      </c>
      <c r="F433" s="51">
        <v>98.068366063911355</v>
      </c>
      <c r="G433" s="47">
        <v>-1.9316339360886445</v>
      </c>
    </row>
    <row r="434" spans="1:7" x14ac:dyDescent="0.3">
      <c r="A434" s="75" t="s">
        <v>112</v>
      </c>
      <c r="B434" s="70">
        <v>11697</v>
      </c>
      <c r="C434" s="44">
        <v>3.8182566004230541E-2</v>
      </c>
      <c r="D434" s="52">
        <v>47550</v>
      </c>
      <c r="E434" s="44">
        <v>3.7040701148144888E-2</v>
      </c>
      <c r="F434" s="51">
        <v>103.08273013385667</v>
      </c>
      <c r="G434" s="47">
        <v>3.0827301338566713</v>
      </c>
    </row>
    <row r="435" spans="1:7" x14ac:dyDescent="0.3">
      <c r="A435" s="76" t="s">
        <v>100</v>
      </c>
      <c r="B435" s="72">
        <v>8519</v>
      </c>
      <c r="C435" s="55">
        <v>2.7808607317264252E-2</v>
      </c>
      <c r="D435" s="52">
        <v>31924</v>
      </c>
      <c r="E435" s="55">
        <v>2.4868293237715614E-2</v>
      </c>
      <c r="F435" s="51">
        <v>111.82354595646041</v>
      </c>
      <c r="G435" s="47">
        <v>11.823545956460407</v>
      </c>
    </row>
    <row r="436" spans="1:7" x14ac:dyDescent="0.3">
      <c r="A436" s="64" t="s">
        <v>211</v>
      </c>
      <c r="B436" s="229">
        <v>306344</v>
      </c>
      <c r="C436" s="228"/>
      <c r="D436" s="229">
        <v>1283723</v>
      </c>
      <c r="E436" s="228"/>
      <c r="F436" s="60"/>
      <c r="G436" s="48"/>
    </row>
    <row r="437" spans="1:7" x14ac:dyDescent="0.3">
      <c r="A437" s="11"/>
      <c r="B437" s="11"/>
      <c r="C437" s="212"/>
      <c r="D437" s="11"/>
      <c r="E437" s="11"/>
      <c r="F437" s="11"/>
    </row>
    <row r="438" spans="1:7" ht="15" customHeight="1" x14ac:dyDescent="0.3">
      <c r="A438" s="9" t="s">
        <v>106</v>
      </c>
      <c r="B438" s="116"/>
      <c r="C438" s="225"/>
      <c r="D438" s="116"/>
      <c r="E438" s="116"/>
      <c r="F438" s="116"/>
    </row>
    <row r="439" spans="1:7" ht="39.950000000000003" customHeight="1" x14ac:dyDescent="0.3">
      <c r="A439" s="252" t="s">
        <v>107</v>
      </c>
      <c r="B439" s="230" t="s">
        <v>888</v>
      </c>
      <c r="C439" s="246" t="s">
        <v>888</v>
      </c>
      <c r="D439" s="230" t="s">
        <v>889</v>
      </c>
      <c r="E439" s="231" t="s">
        <v>889</v>
      </c>
      <c r="F439" s="238" t="s">
        <v>1</v>
      </c>
      <c r="G439" s="239" t="s">
        <v>1</v>
      </c>
    </row>
    <row r="440" spans="1:7" x14ac:dyDescent="0.3">
      <c r="A440" s="242" t="s">
        <v>871</v>
      </c>
      <c r="B440" s="37" t="s">
        <v>74</v>
      </c>
      <c r="C440" s="38" t="s">
        <v>75</v>
      </c>
      <c r="D440" s="36" t="s">
        <v>74</v>
      </c>
      <c r="E440" s="38" t="s">
        <v>75</v>
      </c>
      <c r="F440" s="240" t="s">
        <v>869</v>
      </c>
      <c r="G440" s="241" t="s">
        <v>870</v>
      </c>
    </row>
    <row r="441" spans="1:7" x14ac:dyDescent="0.3">
      <c r="A441" s="75" t="s">
        <v>21</v>
      </c>
      <c r="B441" s="70">
        <v>19861</v>
      </c>
      <c r="C441" s="50">
        <v>0.10571334284315187</v>
      </c>
      <c r="D441" s="52">
        <v>93525</v>
      </c>
      <c r="E441" s="50">
        <v>0.12238688782019826</v>
      </c>
      <c r="F441" s="51">
        <v>86.376363290206442</v>
      </c>
      <c r="G441" s="47">
        <v>-13.623636709793558</v>
      </c>
    </row>
    <row r="442" spans="1:7" x14ac:dyDescent="0.3">
      <c r="A442" s="75" t="s">
        <v>22</v>
      </c>
      <c r="B442" s="70">
        <v>54106</v>
      </c>
      <c r="C442" s="44">
        <v>0.28798782175477444</v>
      </c>
      <c r="D442" s="52">
        <v>174410</v>
      </c>
      <c r="E442" s="44">
        <v>0.22823306179867178</v>
      </c>
      <c r="F442" s="51">
        <v>126.18146533424388</v>
      </c>
      <c r="G442" s="47">
        <v>26.181465334243882</v>
      </c>
    </row>
    <row r="443" spans="1:7" ht="30" x14ac:dyDescent="0.3">
      <c r="A443" s="75" t="s">
        <v>23</v>
      </c>
      <c r="B443" s="70">
        <v>29294</v>
      </c>
      <c r="C443" s="44">
        <v>0.15592199110051311</v>
      </c>
      <c r="D443" s="52">
        <v>104609</v>
      </c>
      <c r="E443" s="44">
        <v>0.13689141885039421</v>
      </c>
      <c r="F443" s="51">
        <v>113.90194682028756</v>
      </c>
      <c r="G443" s="47">
        <v>13.901946820287563</v>
      </c>
    </row>
    <row r="444" spans="1:7" x14ac:dyDescent="0.3">
      <c r="A444" s="75" t="s">
        <v>24</v>
      </c>
      <c r="B444" s="70">
        <v>15727</v>
      </c>
      <c r="C444" s="44">
        <v>8.3709467946943728E-2</v>
      </c>
      <c r="D444" s="52">
        <v>74083</v>
      </c>
      <c r="E444" s="44">
        <v>9.6945071482317527E-2</v>
      </c>
      <c r="F444" s="51">
        <v>86.347316750611782</v>
      </c>
      <c r="G444" s="47">
        <v>-13.652683249388218</v>
      </c>
    </row>
    <row r="445" spans="1:7" x14ac:dyDescent="0.3">
      <c r="A445" s="75" t="s">
        <v>25</v>
      </c>
      <c r="B445" s="70">
        <v>15033</v>
      </c>
      <c r="C445" s="44">
        <v>8.0015542166109566E-2</v>
      </c>
      <c r="D445" s="52">
        <v>74758</v>
      </c>
      <c r="E445" s="44">
        <v>9.7828377007884326E-2</v>
      </c>
      <c r="F445" s="51">
        <v>81.791750628410028</v>
      </c>
      <c r="G445" s="47">
        <v>-18.208249371589972</v>
      </c>
    </row>
    <row r="446" spans="1:7" x14ac:dyDescent="0.3">
      <c r="A446" s="75" t="s">
        <v>26</v>
      </c>
      <c r="B446" s="70">
        <v>14353</v>
      </c>
      <c r="C446" s="44">
        <v>7.6396133620047268E-2</v>
      </c>
      <c r="D446" s="52">
        <v>66635</v>
      </c>
      <c r="E446" s="44">
        <v>8.7198612883174667E-2</v>
      </c>
      <c r="F446" s="51">
        <v>87.61163864200438</v>
      </c>
      <c r="G446" s="47">
        <v>-12.38836135799562</v>
      </c>
    </row>
    <row r="447" spans="1:7" x14ac:dyDescent="0.3">
      <c r="A447" s="75" t="s">
        <v>27</v>
      </c>
      <c r="B447" s="70">
        <v>12540</v>
      </c>
      <c r="C447" s="44">
        <v>6.6746151717090002E-2</v>
      </c>
      <c r="D447" s="52">
        <v>54360</v>
      </c>
      <c r="E447" s="44">
        <v>7.1135538325645301E-2</v>
      </c>
      <c r="F447" s="51">
        <v>93.829544680660888</v>
      </c>
      <c r="G447" s="47">
        <v>-6.1704553193391121</v>
      </c>
    </row>
    <row r="448" spans="1:7" x14ac:dyDescent="0.3">
      <c r="A448" s="75" t="s">
        <v>28</v>
      </c>
      <c r="B448" s="70">
        <v>9177</v>
      </c>
      <c r="C448" s="44">
        <v>4.8846047392961313E-2</v>
      </c>
      <c r="D448" s="52">
        <v>46485</v>
      </c>
      <c r="E448" s="44">
        <v>6.0830307194032783E-2</v>
      </c>
      <c r="F448" s="51">
        <v>80.298866874295385</v>
      </c>
      <c r="G448" s="47">
        <v>-19.701133125704615</v>
      </c>
    </row>
    <row r="449" spans="1:7" x14ac:dyDescent="0.3">
      <c r="A449" s="76" t="s">
        <v>29</v>
      </c>
      <c r="B449" s="72">
        <v>17785</v>
      </c>
      <c r="C449" s="55">
        <v>9.4663501458408739E-2</v>
      </c>
      <c r="D449" s="52">
        <v>75310</v>
      </c>
      <c r="E449" s="55">
        <v>9.8550724637681164E-2</v>
      </c>
      <c r="F449" s="51">
        <v>96.055611773973567</v>
      </c>
      <c r="G449" s="47">
        <v>-3.9443882260264331</v>
      </c>
    </row>
    <row r="450" spans="1:7" ht="30" x14ac:dyDescent="0.3">
      <c r="A450" s="64" t="s">
        <v>225</v>
      </c>
      <c r="B450" s="229">
        <v>187876</v>
      </c>
      <c r="C450" s="228"/>
      <c r="D450" s="229">
        <v>764175</v>
      </c>
      <c r="E450" s="228"/>
      <c r="F450" s="60"/>
      <c r="G450" s="48"/>
    </row>
    <row r="451" spans="1:7" x14ac:dyDescent="0.3">
      <c r="A451" s="11"/>
      <c r="B451" s="11"/>
      <c r="C451" s="212"/>
      <c r="D451" s="11"/>
      <c r="E451" s="11"/>
      <c r="F451" s="11"/>
    </row>
    <row r="452" spans="1:7" ht="15" customHeight="1" x14ac:dyDescent="0.3">
      <c r="A452" s="156" t="s">
        <v>210</v>
      </c>
      <c r="B452" s="9"/>
      <c r="C452" s="213"/>
      <c r="D452" s="9"/>
      <c r="E452" s="9"/>
      <c r="F452" s="9"/>
    </row>
    <row r="453" spans="1:7" ht="39.950000000000003" customHeight="1" x14ac:dyDescent="0.3">
      <c r="A453" s="252" t="s">
        <v>334</v>
      </c>
      <c r="B453" s="230" t="s">
        <v>888</v>
      </c>
      <c r="C453" s="246" t="s">
        <v>888</v>
      </c>
      <c r="D453" s="230" t="s">
        <v>889</v>
      </c>
      <c r="E453" s="231" t="s">
        <v>889</v>
      </c>
      <c r="F453" s="238" t="s">
        <v>1</v>
      </c>
      <c r="G453" s="239" t="s">
        <v>1</v>
      </c>
    </row>
    <row r="454" spans="1:7" x14ac:dyDescent="0.3">
      <c r="A454" s="242" t="s">
        <v>871</v>
      </c>
      <c r="B454" s="37" t="s">
        <v>74</v>
      </c>
      <c r="C454" s="38" t="s">
        <v>75</v>
      </c>
      <c r="D454" s="36" t="s">
        <v>74</v>
      </c>
      <c r="E454" s="38" t="s">
        <v>75</v>
      </c>
      <c r="F454" s="240" t="s">
        <v>869</v>
      </c>
      <c r="G454" s="241" t="s">
        <v>870</v>
      </c>
    </row>
    <row r="455" spans="1:7" ht="30" x14ac:dyDescent="0.3">
      <c r="A455" s="73" t="s">
        <v>212</v>
      </c>
      <c r="B455" s="70">
        <v>51294</v>
      </c>
      <c r="C455" s="50">
        <v>0.16741298728426329</v>
      </c>
      <c r="D455" s="52">
        <v>191287</v>
      </c>
      <c r="E455" s="50">
        <v>0.14900561399080978</v>
      </c>
      <c r="F455" s="51">
        <v>112.35347635599074</v>
      </c>
      <c r="G455" s="47">
        <v>12.353476355990736</v>
      </c>
    </row>
    <row r="456" spans="1:7" ht="30" x14ac:dyDescent="0.3">
      <c r="A456" s="73" t="s">
        <v>213</v>
      </c>
      <c r="B456" s="70">
        <v>62532</v>
      </c>
      <c r="C456" s="50">
        <v>0.20409149063944229</v>
      </c>
      <c r="D456" s="52">
        <v>270296</v>
      </c>
      <c r="E456" s="50">
        <v>0.21055075064829248</v>
      </c>
      <c r="F456" s="51">
        <v>96.932207560903052</v>
      </c>
      <c r="G456" s="47">
        <v>-3.067792439096948</v>
      </c>
    </row>
    <row r="457" spans="1:7" x14ac:dyDescent="0.3">
      <c r="A457" s="73" t="s">
        <v>214</v>
      </c>
      <c r="B457" s="70">
        <v>29613</v>
      </c>
      <c r="C457" s="50">
        <v>9.6650695840622469E-2</v>
      </c>
      <c r="D457" s="52">
        <v>149086</v>
      </c>
      <c r="E457" s="50">
        <v>0.11613257026057112</v>
      </c>
      <c r="F457" s="51">
        <v>83.224452557765304</v>
      </c>
      <c r="G457" s="47">
        <v>-16.775547442234696</v>
      </c>
    </row>
    <row r="458" spans="1:7" ht="30" x14ac:dyDescent="0.3">
      <c r="A458" s="73" t="s">
        <v>215</v>
      </c>
      <c r="B458" s="70">
        <v>25626</v>
      </c>
      <c r="C458" s="50">
        <v>8.3637953993576861E-2</v>
      </c>
      <c r="D458" s="52">
        <v>125062</v>
      </c>
      <c r="E458" s="50">
        <v>9.7418748252200371E-2</v>
      </c>
      <c r="F458" s="51">
        <v>85.85406350844562</v>
      </c>
      <c r="G458" s="47">
        <v>-14.14593649155438</v>
      </c>
    </row>
    <row r="459" spans="1:7" ht="30" x14ac:dyDescent="0.3">
      <c r="A459" s="73" t="s">
        <v>216</v>
      </c>
      <c r="B459" s="70">
        <v>12503</v>
      </c>
      <c r="C459" s="50">
        <v>4.0807201232408156E-2</v>
      </c>
      <c r="D459" s="52">
        <v>65391</v>
      </c>
      <c r="E459" s="50">
        <v>5.0937210079477657E-2</v>
      </c>
      <c r="F459" s="51">
        <v>80.112752875032641</v>
      </c>
      <c r="G459" s="47">
        <v>-19.887247124967359</v>
      </c>
    </row>
    <row r="460" spans="1:7" x14ac:dyDescent="0.3">
      <c r="A460" s="73" t="s">
        <v>217</v>
      </c>
      <c r="B460" s="70">
        <v>27283</v>
      </c>
      <c r="C460" s="50">
        <v>8.9046058643828821E-2</v>
      </c>
      <c r="D460" s="52">
        <v>139998</v>
      </c>
      <c r="E460" s="50">
        <v>0.10905334888144719</v>
      </c>
      <c r="F460" s="51">
        <v>81.653667271265135</v>
      </c>
      <c r="G460" s="47">
        <v>-18.346332728734865</v>
      </c>
    </row>
    <row r="461" spans="1:7" x14ac:dyDescent="0.3">
      <c r="A461" s="73" t="s">
        <v>218</v>
      </c>
      <c r="B461" s="70">
        <v>31069</v>
      </c>
      <c r="C461" s="50">
        <v>0.10140277814042142</v>
      </c>
      <c r="D461" s="52">
        <v>146151</v>
      </c>
      <c r="E461" s="50">
        <v>0.113846312035689</v>
      </c>
      <c r="F461" s="51">
        <v>89.069884063203801</v>
      </c>
      <c r="G461" s="47">
        <v>-10.930115936796199</v>
      </c>
    </row>
    <row r="462" spans="1:7" ht="30" x14ac:dyDescent="0.3">
      <c r="A462" s="73" t="s">
        <v>219</v>
      </c>
      <c r="B462" s="70">
        <v>19441</v>
      </c>
      <c r="C462" s="50">
        <v>6.3451395597796292E-2</v>
      </c>
      <c r="D462" s="52">
        <v>78089</v>
      </c>
      <c r="E462" s="50">
        <v>6.0828490127025597E-2</v>
      </c>
      <c r="F462" s="51">
        <v>104.31196872599236</v>
      </c>
      <c r="G462" s="47">
        <v>4.311968725992358</v>
      </c>
    </row>
    <row r="463" spans="1:7" x14ac:dyDescent="0.3">
      <c r="A463" s="73" t="s">
        <v>220</v>
      </c>
      <c r="B463" s="70">
        <v>47031</v>
      </c>
      <c r="C463" s="44">
        <v>0.1534994386276404</v>
      </c>
      <c r="D463" s="52">
        <v>118397</v>
      </c>
      <c r="E463" s="44">
        <v>9.2226955724486803E-2</v>
      </c>
      <c r="F463" s="51">
        <v>166.43663170038408</v>
      </c>
      <c r="G463" s="47">
        <v>66.436631700384083</v>
      </c>
    </row>
    <row r="464" spans="1:7" x14ac:dyDescent="0.3">
      <c r="A464" s="64" t="s">
        <v>211</v>
      </c>
      <c r="B464" s="229">
        <v>306392</v>
      </c>
      <c r="C464" s="228"/>
      <c r="D464" s="229">
        <v>1283757</v>
      </c>
      <c r="E464" s="228"/>
      <c r="F464" s="60"/>
      <c r="G464" s="48"/>
    </row>
    <row r="465" spans="1:7" ht="15" customHeight="1" x14ac:dyDescent="0.3">
      <c r="A465" s="9"/>
      <c r="B465" s="9"/>
      <c r="C465" s="213"/>
      <c r="D465" s="9"/>
      <c r="E465" s="9"/>
      <c r="F465" s="9"/>
    </row>
    <row r="466" spans="1:7" ht="39.950000000000003" customHeight="1" x14ac:dyDescent="0.3">
      <c r="A466" s="252" t="s">
        <v>335</v>
      </c>
      <c r="B466" s="230" t="s">
        <v>888</v>
      </c>
      <c r="C466" s="246" t="s">
        <v>888</v>
      </c>
      <c r="D466" s="230" t="s">
        <v>889</v>
      </c>
      <c r="E466" s="231" t="s">
        <v>889</v>
      </c>
      <c r="F466" s="238" t="s">
        <v>1</v>
      </c>
      <c r="G466" s="239" t="s">
        <v>1</v>
      </c>
    </row>
    <row r="467" spans="1:7" x14ac:dyDescent="0.3">
      <c r="A467" s="242" t="s">
        <v>871</v>
      </c>
      <c r="B467" s="37" t="s">
        <v>74</v>
      </c>
      <c r="C467" s="38" t="s">
        <v>75</v>
      </c>
      <c r="D467" s="36" t="s">
        <v>74</v>
      </c>
      <c r="E467" s="38" t="s">
        <v>75</v>
      </c>
      <c r="F467" s="240" t="s">
        <v>869</v>
      </c>
      <c r="G467" s="241" t="s">
        <v>870</v>
      </c>
    </row>
    <row r="468" spans="1:7" ht="30" x14ac:dyDescent="0.3">
      <c r="A468" s="73" t="s">
        <v>330</v>
      </c>
      <c r="B468" s="70">
        <v>113826</v>
      </c>
      <c r="C468" s="50">
        <v>0.37150447792370556</v>
      </c>
      <c r="D468" s="52">
        <v>461583</v>
      </c>
      <c r="E468" s="50">
        <v>0.35955636463910223</v>
      </c>
      <c r="F468" s="51">
        <v>103.32301537662836</v>
      </c>
      <c r="G468" s="47">
        <v>3.3230153766283621</v>
      </c>
    </row>
    <row r="469" spans="1:7" x14ac:dyDescent="0.3">
      <c r="A469" s="73" t="s">
        <v>331</v>
      </c>
      <c r="B469" s="70">
        <v>55239</v>
      </c>
      <c r="C469" s="50">
        <v>0.18028864983419932</v>
      </c>
      <c r="D469" s="52">
        <v>274148</v>
      </c>
      <c r="E469" s="50">
        <v>0.21355131851277151</v>
      </c>
      <c r="F469" s="51">
        <v>84.424039659308917</v>
      </c>
      <c r="G469" s="47">
        <v>-15.575960340691083</v>
      </c>
    </row>
    <row r="470" spans="1:7" x14ac:dyDescent="0.3">
      <c r="A470" s="81" t="s">
        <v>332</v>
      </c>
      <c r="B470" s="82">
        <v>70855</v>
      </c>
      <c r="C470" s="66">
        <v>0.23125603801665839</v>
      </c>
      <c r="D470" s="57">
        <v>351540</v>
      </c>
      <c r="E470" s="66">
        <v>0.27383687099661386</v>
      </c>
      <c r="F470" s="51">
        <v>84.450292312724386</v>
      </c>
      <c r="G470" s="47">
        <v>-15.549707687275614</v>
      </c>
    </row>
    <row r="471" spans="1:7" x14ac:dyDescent="0.3">
      <c r="A471" s="104" t="s">
        <v>329</v>
      </c>
      <c r="B471" s="105">
        <v>19441</v>
      </c>
      <c r="C471" s="106">
        <v>6.3451395597796292E-2</v>
      </c>
      <c r="D471" s="107">
        <v>78089</v>
      </c>
      <c r="E471" s="106">
        <v>6.0828490127025597E-2</v>
      </c>
      <c r="F471" s="51">
        <v>104.31196872599236</v>
      </c>
      <c r="G471" s="47">
        <v>4.311968725992358</v>
      </c>
    </row>
    <row r="472" spans="1:7" x14ac:dyDescent="0.3">
      <c r="A472" s="74" t="s">
        <v>333</v>
      </c>
      <c r="B472" s="72">
        <v>47031</v>
      </c>
      <c r="C472" s="55">
        <v>0.1534994386276404</v>
      </c>
      <c r="D472" s="54">
        <v>118397</v>
      </c>
      <c r="E472" s="55">
        <v>9.2226955724486803E-2</v>
      </c>
      <c r="F472" s="51">
        <v>166.43663170038408</v>
      </c>
      <c r="G472" s="47">
        <v>66.436631700384083</v>
      </c>
    </row>
    <row r="473" spans="1:7" x14ac:dyDescent="0.3">
      <c r="A473" s="64" t="s">
        <v>211</v>
      </c>
      <c r="B473" s="229">
        <v>306392</v>
      </c>
      <c r="C473" s="228"/>
      <c r="D473" s="229">
        <v>1283757</v>
      </c>
      <c r="E473" s="228"/>
      <c r="F473" s="60"/>
      <c r="G473" s="48"/>
    </row>
    <row r="474" spans="1:7" ht="15" customHeight="1" x14ac:dyDescent="0.3">
      <c r="A474" s="9"/>
      <c r="B474" s="9"/>
      <c r="C474" s="213"/>
      <c r="D474" s="9"/>
      <c r="E474" s="9"/>
      <c r="F474" s="9"/>
    </row>
    <row r="475" spans="1:7" ht="15" customHeight="1" x14ac:dyDescent="0.3">
      <c r="A475" s="9" t="s">
        <v>419</v>
      </c>
      <c r="B475" s="9"/>
      <c r="C475" s="213"/>
      <c r="D475" s="9"/>
      <c r="E475" s="9"/>
      <c r="F475" s="9"/>
    </row>
    <row r="476" spans="1:7" ht="39.950000000000003" customHeight="1" x14ac:dyDescent="0.3">
      <c r="A476" s="252" t="s">
        <v>419</v>
      </c>
      <c r="B476" s="230" t="s">
        <v>888</v>
      </c>
      <c r="C476" s="246" t="s">
        <v>888</v>
      </c>
      <c r="D476" s="230" t="s">
        <v>889</v>
      </c>
      <c r="E476" s="231" t="s">
        <v>889</v>
      </c>
      <c r="F476" s="238" t="s">
        <v>1</v>
      </c>
      <c r="G476" s="239" t="s">
        <v>1</v>
      </c>
    </row>
    <row r="477" spans="1:7" x14ac:dyDescent="0.3">
      <c r="A477" s="242" t="s">
        <v>871</v>
      </c>
      <c r="B477" s="37" t="s">
        <v>74</v>
      </c>
      <c r="C477" s="38" t="s">
        <v>75</v>
      </c>
      <c r="D477" s="36" t="s">
        <v>74</v>
      </c>
      <c r="E477" s="38" t="s">
        <v>75</v>
      </c>
      <c r="F477" s="240" t="s">
        <v>869</v>
      </c>
      <c r="G477" s="241" t="s">
        <v>870</v>
      </c>
    </row>
    <row r="478" spans="1:7" x14ac:dyDescent="0.3">
      <c r="A478" s="75" t="s">
        <v>420</v>
      </c>
      <c r="B478" s="70">
        <v>341</v>
      </c>
      <c r="C478" s="44">
        <v>1.7682594830044855E-3</v>
      </c>
      <c r="D478" s="52">
        <v>4893</v>
      </c>
      <c r="E478" s="44">
        <v>6.380065717415115E-3</v>
      </c>
      <c r="F478" s="51">
        <v>27.715380394559574</v>
      </c>
      <c r="G478" s="47">
        <v>-72.284619605440426</v>
      </c>
    </row>
    <row r="479" spans="1:7" x14ac:dyDescent="0.3">
      <c r="A479" s="75" t="s">
        <v>421</v>
      </c>
      <c r="B479" s="70">
        <v>143</v>
      </c>
      <c r="C479" s="44">
        <v>7.415281702922036E-4</v>
      </c>
      <c r="D479" s="52">
        <v>1026</v>
      </c>
      <c r="E479" s="44">
        <v>1.3378188076983257E-3</v>
      </c>
      <c r="F479" s="51">
        <v>55.428146623830102</v>
      </c>
      <c r="G479" s="47">
        <v>-44.571853376169898</v>
      </c>
    </row>
    <row r="480" spans="1:7" x14ac:dyDescent="0.3">
      <c r="A480" s="75" t="s">
        <v>422</v>
      </c>
      <c r="B480" s="70">
        <v>9244</v>
      </c>
      <c r="C480" s="44">
        <v>4.7934869973294617E-2</v>
      </c>
      <c r="D480" s="52">
        <v>51354</v>
      </c>
      <c r="E480" s="44">
        <v>6.6961351901110938E-2</v>
      </c>
      <c r="F480" s="51">
        <v>71.585875452582286</v>
      </c>
      <c r="G480" s="47">
        <v>-28.414124547417714</v>
      </c>
    </row>
    <row r="481" spans="1:7" ht="30" x14ac:dyDescent="0.3">
      <c r="A481" s="75" t="s">
        <v>453</v>
      </c>
      <c r="B481" s="70">
        <v>1557</v>
      </c>
      <c r="C481" s="44">
        <v>8.0738416863283986E-3</v>
      </c>
      <c r="D481" s="52">
        <v>5385</v>
      </c>
      <c r="E481" s="44">
        <v>7.0215928649663591E-3</v>
      </c>
      <c r="F481" s="51">
        <v>114.98589909153158</v>
      </c>
      <c r="G481" s="47">
        <v>14.985899091531579</v>
      </c>
    </row>
    <row r="482" spans="1:7" ht="30" x14ac:dyDescent="0.3">
      <c r="A482" s="75" t="s">
        <v>454</v>
      </c>
      <c r="B482" s="70">
        <v>1285</v>
      </c>
      <c r="C482" s="44">
        <v>6.6633825092691024E-3</v>
      </c>
      <c r="D482" s="52">
        <v>6609</v>
      </c>
      <c r="E482" s="44">
        <v>8.6175872320450632E-3</v>
      </c>
      <c r="F482" s="51">
        <v>77.323064215594798</v>
      </c>
      <c r="G482" s="47">
        <v>-22.676935784405202</v>
      </c>
    </row>
    <row r="483" spans="1:7" x14ac:dyDescent="0.3">
      <c r="A483" s="75" t="s">
        <v>423</v>
      </c>
      <c r="B483" s="70">
        <v>14009</v>
      </c>
      <c r="C483" s="44">
        <v>7.264383313023412E-2</v>
      </c>
      <c r="D483" s="52">
        <v>63402</v>
      </c>
      <c r="E483" s="44">
        <v>8.2670943514317002E-2</v>
      </c>
      <c r="F483" s="51">
        <v>87.871058490645652</v>
      </c>
      <c r="G483" s="47">
        <v>-12.128941509354348</v>
      </c>
    </row>
    <row r="484" spans="1:7" ht="30" x14ac:dyDescent="0.3">
      <c r="A484" s="75" t="s">
        <v>455</v>
      </c>
      <c r="B484" s="70">
        <v>24354</v>
      </c>
      <c r="C484" s="44">
        <v>0.12628795146361066</v>
      </c>
      <c r="D484" s="52">
        <v>110306</v>
      </c>
      <c r="E484" s="44">
        <v>0.14382986491420227</v>
      </c>
      <c r="F484" s="51">
        <v>87.80370581516172</v>
      </c>
      <c r="G484" s="47">
        <v>-12.19629418483828</v>
      </c>
    </row>
    <row r="485" spans="1:7" x14ac:dyDescent="0.3">
      <c r="A485" s="75" t="s">
        <v>424</v>
      </c>
      <c r="B485" s="70">
        <v>7772</v>
      </c>
      <c r="C485" s="50">
        <v>4.0301796779797248E-2</v>
      </c>
      <c r="D485" s="52">
        <v>33612</v>
      </c>
      <c r="E485" s="50">
        <v>4.3827257080269126E-2</v>
      </c>
      <c r="F485" s="51">
        <v>91.956009717845134</v>
      </c>
      <c r="G485" s="47">
        <v>-8.0439902821548657</v>
      </c>
    </row>
    <row r="486" spans="1:7" x14ac:dyDescent="0.3">
      <c r="A486" s="75" t="s">
        <v>425</v>
      </c>
      <c r="B486" s="70">
        <v>9918</v>
      </c>
      <c r="C486" s="44">
        <v>5.1429904845860665E-2</v>
      </c>
      <c r="D486" s="52">
        <v>36254</v>
      </c>
      <c r="E486" s="44">
        <v>4.7272205705940644E-2</v>
      </c>
      <c r="F486" s="51">
        <v>108.79522983501811</v>
      </c>
      <c r="G486" s="47">
        <v>8.7952298350181053</v>
      </c>
    </row>
    <row r="487" spans="1:7" x14ac:dyDescent="0.3">
      <c r="A487" s="75" t="s">
        <v>426</v>
      </c>
      <c r="B487" s="70">
        <v>13133</v>
      </c>
      <c r="C487" s="44">
        <v>6.8101324898234339E-2</v>
      </c>
      <c r="D487" s="52">
        <v>39814</v>
      </c>
      <c r="E487" s="44">
        <v>5.1914150106921193E-2</v>
      </c>
      <c r="F487" s="65">
        <v>131.18066029776932</v>
      </c>
      <c r="G487" s="94">
        <v>31.180660297769322</v>
      </c>
    </row>
    <row r="488" spans="1:7" x14ac:dyDescent="0.3">
      <c r="A488" s="75" t="s">
        <v>427</v>
      </c>
      <c r="B488" s="70">
        <v>8843</v>
      </c>
      <c r="C488" s="44">
        <v>4.5855479789468225E-2</v>
      </c>
      <c r="D488" s="52">
        <v>32020</v>
      </c>
      <c r="E488" s="44">
        <v>4.1751421269493556E-2</v>
      </c>
      <c r="F488" s="51">
        <v>109.82974565939716</v>
      </c>
      <c r="G488" s="47">
        <v>9.8297456593971617</v>
      </c>
    </row>
    <row r="489" spans="1:7" x14ac:dyDescent="0.3">
      <c r="A489" s="75" t="s">
        <v>428</v>
      </c>
      <c r="B489" s="70">
        <v>2491</v>
      </c>
      <c r="C489" s="44">
        <v>1.2917109595789365E-2</v>
      </c>
      <c r="D489" s="52">
        <v>11243</v>
      </c>
      <c r="E489" s="44">
        <v>1.4659938455119178E-2</v>
      </c>
      <c r="F489" s="51">
        <v>88.111622264544877</v>
      </c>
      <c r="G489" s="47">
        <v>-11.888377735455123</v>
      </c>
    </row>
    <row r="490" spans="1:7" ht="30" x14ac:dyDescent="0.3">
      <c r="A490" s="75" t="s">
        <v>456</v>
      </c>
      <c r="B490" s="70">
        <v>18400</v>
      </c>
      <c r="C490" s="44">
        <v>9.5413414918717104E-2</v>
      </c>
      <c r="D490" s="52">
        <v>57589</v>
      </c>
      <c r="E490" s="44">
        <v>7.5091274187659734E-2</v>
      </c>
      <c r="F490" s="51">
        <v>127.06325195690586</v>
      </c>
      <c r="G490" s="47">
        <v>27.063251956905859</v>
      </c>
    </row>
    <row r="491" spans="1:7" ht="30" x14ac:dyDescent="0.3">
      <c r="A491" s="75" t="s">
        <v>457</v>
      </c>
      <c r="B491" s="70">
        <v>9865</v>
      </c>
      <c r="C491" s="44">
        <v>5.1155072726801316E-2</v>
      </c>
      <c r="D491" s="52">
        <v>37460</v>
      </c>
      <c r="E491" s="44">
        <v>4.8844729567621134E-2</v>
      </c>
      <c r="F491" s="51">
        <v>104.72997430763071</v>
      </c>
      <c r="G491" s="47">
        <v>4.7299743076307124</v>
      </c>
    </row>
    <row r="492" spans="1:7" ht="30" x14ac:dyDescent="0.3">
      <c r="A492" s="75" t="s">
        <v>458</v>
      </c>
      <c r="B492" s="70">
        <v>10597</v>
      </c>
      <c r="C492" s="44">
        <v>5.495086727682854E-2</v>
      </c>
      <c r="D492" s="52">
        <v>50534</v>
      </c>
      <c r="E492" s="44">
        <v>6.5892139988525528E-2</v>
      </c>
      <c r="F492" s="51">
        <v>83.395177765356692</v>
      </c>
      <c r="G492" s="47">
        <v>-16.604822234643308</v>
      </c>
    </row>
    <row r="493" spans="1:7" x14ac:dyDescent="0.3">
      <c r="A493" s="75" t="s">
        <v>429</v>
      </c>
      <c r="B493" s="70">
        <v>22065</v>
      </c>
      <c r="C493" s="50">
        <v>0.11441831522725505</v>
      </c>
      <c r="D493" s="52">
        <v>78562</v>
      </c>
      <c r="E493" s="50">
        <v>0.10243832472748135</v>
      </c>
      <c r="F493" s="51">
        <v>111.69483250691994</v>
      </c>
      <c r="G493" s="47">
        <v>11.694832506919937</v>
      </c>
    </row>
    <row r="494" spans="1:7" x14ac:dyDescent="0.3">
      <c r="A494" s="75" t="s">
        <v>430</v>
      </c>
      <c r="B494" s="70">
        <v>29682</v>
      </c>
      <c r="C494" s="44">
        <v>0.1539163576965957</v>
      </c>
      <c r="D494" s="52">
        <v>113457</v>
      </c>
      <c r="E494" s="44">
        <v>0.14793850727585667</v>
      </c>
      <c r="F494" s="51">
        <v>104.04076702598621</v>
      </c>
      <c r="G494" s="47">
        <v>4.040767025986213</v>
      </c>
    </row>
    <row r="495" spans="1:7" x14ac:dyDescent="0.3">
      <c r="A495" s="75" t="s">
        <v>436</v>
      </c>
      <c r="B495" s="70">
        <v>3373</v>
      </c>
      <c r="C495" s="44">
        <v>1.7490730897871346E-2</v>
      </c>
      <c r="D495" s="52">
        <v>7533</v>
      </c>
      <c r="E495" s="44">
        <v>9.8224065091534977E-3</v>
      </c>
      <c r="F495" s="51">
        <v>178.06971114025609</v>
      </c>
      <c r="G495" s="47">
        <v>78.069711140256089</v>
      </c>
    </row>
    <row r="496" spans="1:7" ht="30" x14ac:dyDescent="0.3">
      <c r="A496" s="75" t="s">
        <v>431</v>
      </c>
      <c r="B496" s="70">
        <v>640</v>
      </c>
      <c r="C496" s="44">
        <v>3.3187274754336383E-3</v>
      </c>
      <c r="D496" s="52">
        <v>1930</v>
      </c>
      <c r="E496" s="44">
        <v>2.5165597454754082E-3</v>
      </c>
      <c r="F496" s="51">
        <v>131.87556867666143</v>
      </c>
      <c r="G496" s="47">
        <v>31.87556867666143</v>
      </c>
    </row>
    <row r="497" spans="1:7" ht="30" x14ac:dyDescent="0.3">
      <c r="A497" s="75" t="s">
        <v>435</v>
      </c>
      <c r="B497" s="70">
        <v>1762</v>
      </c>
      <c r="C497" s="44">
        <v>9.1368715808032349E-3</v>
      </c>
      <c r="D497" s="52">
        <v>7908</v>
      </c>
      <c r="E497" s="44">
        <v>1.0311375371616336E-2</v>
      </c>
      <c r="F497" s="65">
        <v>88.609630156166119</v>
      </c>
      <c r="G497" s="94">
        <v>-11.390369843833881</v>
      </c>
    </row>
    <row r="498" spans="1:7" x14ac:dyDescent="0.3">
      <c r="A498" s="75" t="s">
        <v>432</v>
      </c>
      <c r="B498" s="70">
        <v>3298</v>
      </c>
      <c r="C498" s="44">
        <v>1.7101817521843969E-2</v>
      </c>
      <c r="D498" s="52">
        <v>15284</v>
      </c>
      <c r="E498" s="44">
        <v>1.9929066917018724E-2</v>
      </c>
      <c r="F498" s="51">
        <v>85.813438195842565</v>
      </c>
      <c r="G498" s="47">
        <v>-14.186561804157435</v>
      </c>
    </row>
    <row r="499" spans="1:7" ht="60" x14ac:dyDescent="0.3">
      <c r="A499" s="75" t="s">
        <v>433</v>
      </c>
      <c r="B499" s="70">
        <v>51</v>
      </c>
      <c r="C499" s="44">
        <v>2.6446109569861804E-4</v>
      </c>
      <c r="D499" s="52">
        <v>284</v>
      </c>
      <c r="E499" s="44">
        <v>3.7031241850518957E-4</v>
      </c>
      <c r="F499" s="51">
        <v>71.415670251121185</v>
      </c>
      <c r="G499" s="47">
        <v>-28.584329748878815</v>
      </c>
    </row>
    <row r="500" spans="1:7" ht="30" x14ac:dyDescent="0.3">
      <c r="A500" s="75" t="s">
        <v>434</v>
      </c>
      <c r="B500" s="70">
        <v>22</v>
      </c>
      <c r="C500" s="44">
        <v>1.1408125696803132E-4</v>
      </c>
      <c r="D500" s="52">
        <v>65</v>
      </c>
      <c r="E500" s="44">
        <v>8.4754602826891983E-5</v>
      </c>
      <c r="F500" s="51">
        <v>134.60184245218858</v>
      </c>
      <c r="G500" s="47">
        <v>34.601842452188578</v>
      </c>
    </row>
    <row r="501" spans="1:7" ht="30" x14ac:dyDescent="0.3">
      <c r="A501" s="64" t="s">
        <v>225</v>
      </c>
      <c r="B501" s="229">
        <v>192845</v>
      </c>
      <c r="C501" s="228"/>
      <c r="D501" s="229">
        <v>766920</v>
      </c>
      <c r="E501" s="228"/>
      <c r="F501" s="60"/>
      <c r="G501" s="48"/>
    </row>
    <row r="503" spans="1:7" ht="15" customHeight="1" x14ac:dyDescent="0.3">
      <c r="A503" s="156" t="s">
        <v>864</v>
      </c>
      <c r="B503" s="9"/>
      <c r="C503" s="213"/>
      <c r="D503" s="9"/>
      <c r="E503" s="9"/>
      <c r="F503" s="9"/>
    </row>
    <row r="504" spans="1:7" ht="39.950000000000003" customHeight="1" x14ac:dyDescent="0.3">
      <c r="A504" s="252" t="s">
        <v>864</v>
      </c>
      <c r="B504" s="230" t="s">
        <v>888</v>
      </c>
      <c r="C504" s="246" t="s">
        <v>888</v>
      </c>
      <c r="D504" s="230" t="s">
        <v>889</v>
      </c>
      <c r="E504" s="231" t="s">
        <v>889</v>
      </c>
      <c r="F504" s="238" t="s">
        <v>1</v>
      </c>
      <c r="G504" s="239" t="s">
        <v>1</v>
      </c>
    </row>
    <row r="505" spans="1:7" x14ac:dyDescent="0.3">
      <c r="A505" s="242" t="s">
        <v>871</v>
      </c>
      <c r="B505" s="37" t="s">
        <v>74</v>
      </c>
      <c r="C505" s="38" t="s">
        <v>75</v>
      </c>
      <c r="D505" s="36" t="s">
        <v>74</v>
      </c>
      <c r="E505" s="38" t="s">
        <v>75</v>
      </c>
      <c r="F505" s="240" t="s">
        <v>869</v>
      </c>
      <c r="G505" s="241" t="s">
        <v>870</v>
      </c>
    </row>
    <row r="506" spans="1:7" ht="30" x14ac:dyDescent="0.3">
      <c r="A506" s="73" t="s">
        <v>867</v>
      </c>
      <c r="B506" s="70">
        <v>89744</v>
      </c>
      <c r="C506" s="50">
        <v>0.29490204325738206</v>
      </c>
      <c r="D506" s="52">
        <v>332323</v>
      </c>
      <c r="E506" s="50">
        <v>0.27052726779857494</v>
      </c>
      <c r="F506" s="51">
        <v>109.01009929873528</v>
      </c>
      <c r="G506" s="47">
        <v>9.0100992987352839</v>
      </c>
    </row>
    <row r="507" spans="1:7" ht="45" x14ac:dyDescent="0.3">
      <c r="A507" s="73" t="s">
        <v>868</v>
      </c>
      <c r="B507" s="70">
        <v>105845</v>
      </c>
      <c r="C507" s="50">
        <v>0.34781051400180074</v>
      </c>
      <c r="D507" s="52">
        <v>424229</v>
      </c>
      <c r="E507" s="50">
        <v>0.34534327233120082</v>
      </c>
      <c r="F507" s="51">
        <v>100.714431659243</v>
      </c>
      <c r="G507" s="47">
        <v>0.71443165924300445</v>
      </c>
    </row>
    <row r="508" spans="1:7" x14ac:dyDescent="0.3">
      <c r="A508" s="73" t="s">
        <v>865</v>
      </c>
      <c r="B508" s="70">
        <v>48435</v>
      </c>
      <c r="C508" s="50">
        <v>0.15915916902713609</v>
      </c>
      <c r="D508" s="52">
        <v>240027</v>
      </c>
      <c r="E508" s="50">
        <v>0.19539378408322189</v>
      </c>
      <c r="F508" s="51">
        <v>81.455594799959044</v>
      </c>
      <c r="G508" s="47">
        <v>-18.544405200040956</v>
      </c>
    </row>
    <row r="509" spans="1:7" ht="30" customHeight="1" x14ac:dyDescent="0.3">
      <c r="A509" s="73" t="s">
        <v>866</v>
      </c>
      <c r="B509" s="70">
        <v>60294</v>
      </c>
      <c r="C509" s="50">
        <v>0.19812827371368108</v>
      </c>
      <c r="D509" s="52">
        <v>231848</v>
      </c>
      <c r="E509" s="50">
        <v>0.1887356757870024</v>
      </c>
      <c r="F509" s="51">
        <v>104.97658849473626</v>
      </c>
      <c r="G509" s="47">
        <v>4.9765884947362622</v>
      </c>
    </row>
    <row r="510" spans="1:7" x14ac:dyDescent="0.3">
      <c r="A510" s="64" t="s">
        <v>393</v>
      </c>
      <c r="B510" s="229">
        <v>304318</v>
      </c>
      <c r="C510" s="228"/>
      <c r="D510" s="229">
        <v>1228427</v>
      </c>
      <c r="E510" s="228"/>
      <c r="F510" s="60"/>
      <c r="G510" s="48"/>
    </row>
    <row r="511" spans="1:7" ht="15" customHeight="1" x14ac:dyDescent="0.3">
      <c r="A511" s="9"/>
      <c r="B511" s="9"/>
      <c r="C511" s="213"/>
      <c r="D511" s="9"/>
      <c r="E511" s="9"/>
      <c r="F511" s="9"/>
    </row>
    <row r="512" spans="1:7" x14ac:dyDescent="0.3">
      <c r="A512" s="9" t="s">
        <v>103</v>
      </c>
      <c r="B512" s="11"/>
      <c r="C512" s="212"/>
      <c r="D512" s="11"/>
      <c r="E512" s="11"/>
      <c r="F512" s="11"/>
    </row>
    <row r="513" spans="1:7" ht="15" customHeight="1" x14ac:dyDescent="0.3">
      <c r="A513" s="274" t="s">
        <v>176</v>
      </c>
      <c r="B513" s="274"/>
      <c r="C513" s="274"/>
      <c r="D513" s="274"/>
      <c r="E513" s="274"/>
      <c r="F513" s="274"/>
      <c r="G513" s="274"/>
    </row>
    <row r="514" spans="1:7" x14ac:dyDescent="0.3">
      <c r="A514" s="275" t="s">
        <v>171</v>
      </c>
      <c r="B514" s="275"/>
      <c r="C514" s="275"/>
      <c r="D514" s="275"/>
      <c r="E514" s="275"/>
      <c r="F514" s="275"/>
      <c r="G514" s="275"/>
    </row>
    <row r="515" spans="1:7" x14ac:dyDescent="0.3">
      <c r="A515" s="275" t="s">
        <v>172</v>
      </c>
      <c r="B515" s="275"/>
      <c r="C515" s="275"/>
      <c r="D515" s="275"/>
      <c r="E515" s="275"/>
      <c r="F515" s="275"/>
      <c r="G515" s="275"/>
    </row>
    <row r="516" spans="1:7" x14ac:dyDescent="0.3">
      <c r="A516" s="275" t="s">
        <v>173</v>
      </c>
      <c r="B516" s="275"/>
      <c r="C516" s="275"/>
      <c r="D516" s="275"/>
      <c r="E516" s="275"/>
      <c r="F516" s="275"/>
      <c r="G516" s="275"/>
    </row>
    <row r="517" spans="1:7" ht="33" customHeight="1" x14ac:dyDescent="0.3">
      <c r="A517" s="274" t="s">
        <v>174</v>
      </c>
      <c r="B517" s="274"/>
      <c r="C517" s="274"/>
      <c r="D517" s="274"/>
      <c r="E517" s="274"/>
      <c r="F517" s="274"/>
      <c r="G517" s="274"/>
    </row>
    <row r="518" spans="1:7" ht="15" customHeight="1" x14ac:dyDescent="0.3">
      <c r="A518" s="274" t="s">
        <v>175</v>
      </c>
      <c r="B518" s="274"/>
      <c r="C518" s="274"/>
      <c r="D518" s="274"/>
      <c r="E518" s="274"/>
      <c r="F518" s="274"/>
      <c r="G518" s="274"/>
    </row>
    <row r="519" spans="1:7" ht="15" customHeight="1" x14ac:dyDescent="0.3">
      <c r="A519" s="80"/>
      <c r="B519" s="80"/>
      <c r="C519" s="226"/>
      <c r="D519" s="80"/>
      <c r="E519" s="80"/>
      <c r="F519" s="80"/>
      <c r="G519" s="80"/>
    </row>
    <row r="520" spans="1:7" ht="33" customHeight="1" x14ac:dyDescent="0.3">
      <c r="A520" s="274" t="s">
        <v>224</v>
      </c>
      <c r="B520" s="274"/>
      <c r="C520" s="274"/>
      <c r="D520" s="274"/>
      <c r="E520" s="274"/>
      <c r="F520" s="274"/>
      <c r="G520" s="274"/>
    </row>
    <row r="521" spans="1:7" x14ac:dyDescent="0.3">
      <c r="A521" s="275" t="s">
        <v>177</v>
      </c>
      <c r="B521" s="275"/>
      <c r="C521" s="275"/>
      <c r="D521" s="275"/>
      <c r="E521" s="275"/>
      <c r="F521" s="275"/>
      <c r="G521" s="275"/>
    </row>
    <row r="522" spans="1:7" x14ac:dyDescent="0.3">
      <c r="A522" s="275" t="s">
        <v>178</v>
      </c>
      <c r="B522" s="275"/>
      <c r="C522" s="275"/>
      <c r="D522" s="275"/>
      <c r="E522" s="275"/>
      <c r="F522" s="275"/>
      <c r="G522" s="275"/>
    </row>
    <row r="523" spans="1:7" x14ac:dyDescent="0.3">
      <c r="A523" s="275" t="s">
        <v>179</v>
      </c>
      <c r="B523" s="275"/>
      <c r="C523" s="275"/>
      <c r="D523" s="275"/>
      <c r="E523" s="275"/>
      <c r="F523" s="275"/>
      <c r="G523" s="275"/>
    </row>
    <row r="524" spans="1:7" x14ac:dyDescent="0.3">
      <c r="A524" s="274" t="s">
        <v>180</v>
      </c>
      <c r="B524" s="274"/>
      <c r="C524" s="274"/>
      <c r="D524" s="274"/>
      <c r="E524" s="274"/>
      <c r="F524" s="274"/>
      <c r="G524" s="274"/>
    </row>
    <row r="525" spans="1:7" ht="33" customHeight="1" x14ac:dyDescent="0.3">
      <c r="A525" s="274" t="s">
        <v>181</v>
      </c>
      <c r="B525" s="274"/>
      <c r="C525" s="274"/>
      <c r="D525" s="274"/>
      <c r="E525" s="274"/>
      <c r="F525" s="274"/>
      <c r="G525" s="274"/>
    </row>
    <row r="526" spans="1:7" ht="6.75" customHeight="1" x14ac:dyDescent="0.3">
      <c r="A526" s="274"/>
      <c r="B526" s="274"/>
      <c r="C526" s="274"/>
      <c r="D526" s="274"/>
      <c r="E526" s="274"/>
      <c r="F526" s="274"/>
      <c r="G526" s="274"/>
    </row>
    <row r="527" spans="1:7" ht="39.950000000000003" customHeight="1" x14ac:dyDescent="0.3">
      <c r="A527" s="252" t="s">
        <v>103</v>
      </c>
      <c r="B527" s="230" t="s">
        <v>888</v>
      </c>
      <c r="C527" s="246" t="s">
        <v>888</v>
      </c>
      <c r="D527" s="230" t="s">
        <v>889</v>
      </c>
      <c r="E527" s="231" t="s">
        <v>889</v>
      </c>
      <c r="F527" s="238" t="s">
        <v>1</v>
      </c>
      <c r="G527" s="239" t="s">
        <v>1</v>
      </c>
    </row>
    <row r="528" spans="1:7" x14ac:dyDescent="0.3">
      <c r="A528" s="242" t="s">
        <v>871</v>
      </c>
      <c r="B528" s="37" t="s">
        <v>74</v>
      </c>
      <c r="C528" s="38" t="s">
        <v>75</v>
      </c>
      <c r="D528" s="36" t="s">
        <v>74</v>
      </c>
      <c r="E528" s="38" t="s">
        <v>75</v>
      </c>
      <c r="F528" s="240" t="s">
        <v>869</v>
      </c>
      <c r="G528" s="241" t="s">
        <v>870</v>
      </c>
    </row>
    <row r="529" spans="1:7" x14ac:dyDescent="0.3">
      <c r="A529" s="83" t="s">
        <v>104</v>
      </c>
      <c r="B529" s="70">
        <v>199433</v>
      </c>
      <c r="C529" s="44">
        <v>0.65100997571357688</v>
      </c>
      <c r="D529" s="52">
        <v>801580</v>
      </c>
      <c r="E529" s="44">
        <v>0.62441819613732874</v>
      </c>
      <c r="F529" s="51">
        <v>104.25864904974675</v>
      </c>
      <c r="G529" s="47">
        <v>4.2586490497467508</v>
      </c>
    </row>
    <row r="530" spans="1:7" x14ac:dyDescent="0.3">
      <c r="A530" s="83" t="s">
        <v>108</v>
      </c>
      <c r="B530" s="70">
        <v>106911</v>
      </c>
      <c r="C530" s="44">
        <v>0.34899002428642312</v>
      </c>
      <c r="D530" s="52">
        <v>482143</v>
      </c>
      <c r="E530" s="44">
        <v>0.37558180386267132</v>
      </c>
      <c r="F530" s="51">
        <v>92.919843479432444</v>
      </c>
      <c r="G530" s="47">
        <v>-7.0801565205675558</v>
      </c>
    </row>
    <row r="531" spans="1:7" x14ac:dyDescent="0.3">
      <c r="A531" s="64" t="s">
        <v>211</v>
      </c>
      <c r="B531" s="229">
        <v>306344</v>
      </c>
      <c r="C531" s="228"/>
      <c r="D531" s="229">
        <v>1283723</v>
      </c>
      <c r="E531" s="228"/>
      <c r="F531" s="60"/>
      <c r="G531" s="48"/>
    </row>
    <row r="532" spans="1:7" x14ac:dyDescent="0.3">
      <c r="A532" s="11"/>
      <c r="B532" s="11"/>
      <c r="C532" s="212"/>
      <c r="D532" s="11"/>
      <c r="E532" s="11"/>
      <c r="F532" s="11"/>
    </row>
    <row r="533" spans="1:7" s="174" customFormat="1" x14ac:dyDescent="0.35">
      <c r="A533" s="276" t="s">
        <v>379</v>
      </c>
      <c r="B533" s="276"/>
      <c r="C533" s="276"/>
      <c r="D533" s="276"/>
      <c r="E533" s="276"/>
      <c r="F533" s="276"/>
      <c r="G533" s="276"/>
    </row>
  </sheetData>
  <mergeCells count="33">
    <mergeCell ref="A142:G142"/>
    <mergeCell ref="A140:G140"/>
    <mergeCell ref="A141:G141"/>
    <mergeCell ref="A137:G137"/>
    <mergeCell ref="A135:G135"/>
    <mergeCell ref="A123:G123"/>
    <mergeCell ref="A99:G99"/>
    <mergeCell ref="A138:G138"/>
    <mergeCell ref="A136:G136"/>
    <mergeCell ref="A139:G139"/>
    <mergeCell ref="A124:G124"/>
    <mergeCell ref="A109:G109"/>
    <mergeCell ref="A513:G513"/>
    <mergeCell ref="A394:G398"/>
    <mergeCell ref="A423:G423"/>
    <mergeCell ref="A409:G409"/>
    <mergeCell ref="A300:G300"/>
    <mergeCell ref="A526:G526"/>
    <mergeCell ref="A522:G522"/>
    <mergeCell ref="A533:G533"/>
    <mergeCell ref="A4:G5"/>
    <mergeCell ref="A42:F42"/>
    <mergeCell ref="A514:G514"/>
    <mergeCell ref="A515:G515"/>
    <mergeCell ref="A516:G516"/>
    <mergeCell ref="A518:G518"/>
    <mergeCell ref="A517:G517"/>
    <mergeCell ref="A422:F422"/>
    <mergeCell ref="A520:G520"/>
    <mergeCell ref="A523:G523"/>
    <mergeCell ref="A524:G524"/>
    <mergeCell ref="A525:G525"/>
    <mergeCell ref="A521:G521"/>
  </mergeCells>
  <conditionalFormatting sqref="F22:F39">
    <cfRule type="cellIs" dxfId="173" priority="174" operator="greaterThan">
      <formula>110</formula>
    </cfRule>
    <cfRule type="cellIs" dxfId="172" priority="175" operator="lessThan">
      <formula>90</formula>
    </cfRule>
  </conditionalFormatting>
  <conditionalFormatting sqref="F45:F49">
    <cfRule type="cellIs" dxfId="171" priority="170" operator="lessThan">
      <formula>90</formula>
    </cfRule>
    <cfRule type="cellIs" dxfId="170" priority="169" operator="greaterThan">
      <formula>110</formula>
    </cfRule>
  </conditionalFormatting>
  <conditionalFormatting sqref="F54:F72">
    <cfRule type="cellIs" dxfId="169" priority="165" operator="lessThan">
      <formula>90</formula>
    </cfRule>
    <cfRule type="cellIs" dxfId="168" priority="164" operator="greaterThan">
      <formula>110</formula>
    </cfRule>
  </conditionalFormatting>
  <conditionalFormatting sqref="F78:F81">
    <cfRule type="cellIs" dxfId="167" priority="160" operator="lessThan">
      <formula>90</formula>
    </cfRule>
    <cfRule type="cellIs" dxfId="166" priority="159" operator="greaterThan">
      <formula>110</formula>
    </cfRule>
  </conditionalFormatting>
  <conditionalFormatting sqref="F87:F88">
    <cfRule type="cellIs" dxfId="165" priority="154" operator="greaterThan">
      <formula>110</formula>
    </cfRule>
    <cfRule type="cellIs" dxfId="164" priority="155" operator="lessThan">
      <formula>90</formula>
    </cfRule>
  </conditionalFormatting>
  <conditionalFormatting sqref="F93:F97">
    <cfRule type="cellIs" dxfId="163" priority="149" operator="greaterThan">
      <formula>110</formula>
    </cfRule>
    <cfRule type="cellIs" dxfId="162" priority="150" operator="lessThan">
      <formula>90</formula>
    </cfRule>
  </conditionalFormatting>
  <conditionalFormatting sqref="F104:F107">
    <cfRule type="cellIs" dxfId="161" priority="145" operator="lessThan">
      <formula>90</formula>
    </cfRule>
    <cfRule type="cellIs" dxfId="160" priority="144" operator="greaterThan">
      <formula>110</formula>
    </cfRule>
  </conditionalFormatting>
  <conditionalFormatting sqref="F114:F121">
    <cfRule type="cellIs" dxfId="159" priority="139" operator="greaterThan">
      <formula>110</formula>
    </cfRule>
    <cfRule type="cellIs" dxfId="158" priority="140" operator="lessThan">
      <formula>90</formula>
    </cfRule>
  </conditionalFormatting>
  <conditionalFormatting sqref="F130:F131">
    <cfRule type="cellIs" dxfId="157" priority="134" operator="greaterThan">
      <formula>110</formula>
    </cfRule>
    <cfRule type="cellIs" dxfId="156" priority="135" operator="lessThan">
      <formula>90</formula>
    </cfRule>
  </conditionalFormatting>
  <conditionalFormatting sqref="F145:F149">
    <cfRule type="cellIs" dxfId="155" priority="130" operator="lessThan">
      <formula>90</formula>
    </cfRule>
    <cfRule type="cellIs" dxfId="154" priority="129" operator="greaterThan">
      <formula>110</formula>
    </cfRule>
  </conditionalFormatting>
  <conditionalFormatting sqref="F155:F186">
    <cfRule type="cellIs" dxfId="153" priority="124" operator="greaterThan">
      <formula>110</formula>
    </cfRule>
    <cfRule type="cellIs" dxfId="152" priority="125" operator="lessThan">
      <formula>90</formula>
    </cfRule>
  </conditionalFormatting>
  <conditionalFormatting sqref="F192:F196">
    <cfRule type="cellIs" dxfId="151" priority="119" operator="greaterThan">
      <formula>110</formula>
    </cfRule>
    <cfRule type="cellIs" dxfId="150" priority="120" operator="lessThan">
      <formula>90</formula>
    </cfRule>
  </conditionalFormatting>
  <conditionalFormatting sqref="F202:F205">
    <cfRule type="cellIs" dxfId="149" priority="115" operator="lessThan">
      <formula>90</formula>
    </cfRule>
    <cfRule type="cellIs" dxfId="148" priority="114" operator="greaterThan">
      <formula>110</formula>
    </cfRule>
  </conditionalFormatting>
  <conditionalFormatting sqref="F213:F217">
    <cfRule type="cellIs" dxfId="147" priority="110" operator="lessThan">
      <formula>90</formula>
    </cfRule>
    <cfRule type="cellIs" dxfId="146" priority="109" operator="greaterThan">
      <formula>110</formula>
    </cfRule>
  </conditionalFormatting>
  <conditionalFormatting sqref="F223:F225">
    <cfRule type="cellIs" dxfId="145" priority="105" operator="lessThan">
      <formula>90</formula>
    </cfRule>
    <cfRule type="cellIs" dxfId="144" priority="104" operator="greaterThan">
      <formula>110</formula>
    </cfRule>
  </conditionalFormatting>
  <conditionalFormatting sqref="F231:F238">
    <cfRule type="cellIs" dxfId="143" priority="100" operator="lessThan">
      <formula>90</formula>
    </cfRule>
    <cfRule type="cellIs" dxfId="142" priority="99" operator="greaterThan">
      <formula>110</formula>
    </cfRule>
  </conditionalFormatting>
  <conditionalFormatting sqref="F246:F251">
    <cfRule type="cellIs" dxfId="141" priority="95" operator="lessThan">
      <formula>90</formula>
    </cfRule>
    <cfRule type="cellIs" dxfId="140" priority="94" operator="greaterThan">
      <formula>110</formula>
    </cfRule>
  </conditionalFormatting>
  <conditionalFormatting sqref="F257:F265">
    <cfRule type="cellIs" dxfId="139" priority="90" operator="lessThan">
      <formula>90</formula>
    </cfRule>
    <cfRule type="cellIs" dxfId="138" priority="89" operator="greaterThan">
      <formula>110</formula>
    </cfRule>
  </conditionalFormatting>
  <conditionalFormatting sqref="F270:F271">
    <cfRule type="cellIs" dxfId="137" priority="84" operator="greaterThan">
      <formula>110</formula>
    </cfRule>
    <cfRule type="cellIs" dxfId="136" priority="85" operator="lessThan">
      <formula>90</formula>
    </cfRule>
  </conditionalFormatting>
  <conditionalFormatting sqref="F273:F274 F276:F277 F279:F280">
    <cfRule type="cellIs" dxfId="135" priority="79" operator="greaterThan">
      <formula>110</formula>
    </cfRule>
    <cfRule type="cellIs" dxfId="134" priority="80" operator="lessThan">
      <formula>90</formula>
    </cfRule>
  </conditionalFormatting>
  <conditionalFormatting sqref="F286:F298">
    <cfRule type="cellIs" dxfId="133" priority="75" operator="lessThan">
      <formula>90</formula>
    </cfRule>
    <cfRule type="cellIs" dxfId="132" priority="74" operator="greaterThan">
      <formula>110</formula>
    </cfRule>
  </conditionalFormatting>
  <conditionalFormatting sqref="F301:F302">
    <cfRule type="cellIs" dxfId="131" priority="304" operator="greaterThan">
      <formula>110</formula>
    </cfRule>
    <cfRule type="cellIs" dxfId="130" priority="303" operator="lessThan">
      <formula>90</formula>
    </cfRule>
  </conditionalFormatting>
  <conditionalFormatting sqref="F305:F316">
    <cfRule type="cellIs" dxfId="129" priority="70" operator="lessThan">
      <formula>90</formula>
    </cfRule>
    <cfRule type="cellIs" dxfId="128" priority="69" operator="greaterThan">
      <formula>110</formula>
    </cfRule>
  </conditionalFormatting>
  <conditionalFormatting sqref="F321:F333">
    <cfRule type="cellIs" dxfId="127" priority="65" operator="lessThan">
      <formula>90</formula>
    </cfRule>
    <cfRule type="cellIs" dxfId="126" priority="64" operator="greaterThan">
      <formula>110</formula>
    </cfRule>
  </conditionalFormatting>
  <conditionalFormatting sqref="F338:F342">
    <cfRule type="cellIs" dxfId="125" priority="59" operator="greaterThan">
      <formula>110</formula>
    </cfRule>
    <cfRule type="cellIs" dxfId="124" priority="60" operator="lessThan">
      <formula>90</formula>
    </cfRule>
  </conditionalFormatting>
  <conditionalFormatting sqref="F348:F368">
    <cfRule type="cellIs" dxfId="123" priority="55" operator="lessThan">
      <formula>90</formula>
    </cfRule>
    <cfRule type="cellIs" dxfId="122" priority="54" operator="greaterThan">
      <formula>110</formula>
    </cfRule>
  </conditionalFormatting>
  <conditionalFormatting sqref="F373:F392">
    <cfRule type="cellIs" dxfId="121" priority="50" operator="lessThan">
      <formula>90</formula>
    </cfRule>
    <cfRule type="cellIs" dxfId="120" priority="49" operator="greaterThan">
      <formula>110</formula>
    </cfRule>
  </conditionalFormatting>
  <conditionalFormatting sqref="F403:F407">
    <cfRule type="cellIs" dxfId="119" priority="45" operator="lessThan">
      <formula>90</formula>
    </cfRule>
    <cfRule type="cellIs" dxfId="118" priority="44" operator="greaterThan">
      <formula>110</formula>
    </cfRule>
  </conditionalFormatting>
  <conditionalFormatting sqref="F414:F420">
    <cfRule type="cellIs" dxfId="117" priority="40" operator="lessThan">
      <formula>90</formula>
    </cfRule>
    <cfRule type="cellIs" dxfId="116" priority="39" operator="greaterThan">
      <formula>110</formula>
    </cfRule>
  </conditionalFormatting>
  <conditionalFormatting sqref="F428:F435">
    <cfRule type="cellIs" dxfId="115" priority="35" operator="lessThan">
      <formula>90</formula>
    </cfRule>
    <cfRule type="cellIs" dxfId="114" priority="34" operator="greaterThan">
      <formula>110</formula>
    </cfRule>
  </conditionalFormatting>
  <conditionalFormatting sqref="F441:F449">
    <cfRule type="cellIs" dxfId="113" priority="30" operator="lessThan">
      <formula>90</formula>
    </cfRule>
    <cfRule type="cellIs" dxfId="112" priority="29" operator="greaterThan">
      <formula>110</formula>
    </cfRule>
  </conditionalFormatting>
  <conditionalFormatting sqref="F455:F463">
    <cfRule type="cellIs" dxfId="111" priority="24" operator="greaterThan">
      <formula>110</formula>
    </cfRule>
    <cfRule type="cellIs" dxfId="110" priority="25" operator="lessThan">
      <formula>90</formula>
    </cfRule>
  </conditionalFormatting>
  <conditionalFormatting sqref="F468:F472">
    <cfRule type="cellIs" dxfId="109" priority="19" operator="greaterThan">
      <formula>110</formula>
    </cfRule>
    <cfRule type="cellIs" dxfId="108" priority="20" operator="lessThan">
      <formula>90</formula>
    </cfRule>
  </conditionalFormatting>
  <conditionalFormatting sqref="F478:F500">
    <cfRule type="cellIs" dxfId="107" priority="14" operator="greaterThan">
      <formula>110</formula>
    </cfRule>
    <cfRule type="cellIs" dxfId="106" priority="15" operator="lessThan">
      <formula>90</formula>
    </cfRule>
  </conditionalFormatting>
  <conditionalFormatting sqref="F506:F509">
    <cfRule type="cellIs" dxfId="105" priority="9" operator="greaterThan">
      <formula>110</formula>
    </cfRule>
    <cfRule type="cellIs" dxfId="104" priority="10" operator="lessThan">
      <formula>90</formula>
    </cfRule>
  </conditionalFormatting>
  <conditionalFormatting sqref="F529:F530">
    <cfRule type="cellIs" dxfId="103" priority="5" operator="lessThan">
      <formula>90</formula>
    </cfRule>
    <cfRule type="cellIs" dxfId="102" priority="4" operator="greaterThan">
      <formula>110</formula>
    </cfRule>
  </conditionalFormatting>
  <conditionalFormatting sqref="G22:G39">
    <cfRule type="expression" dxfId="101" priority="171">
      <formula>AND(F22&lt;=90,(E22-C22&gt;=0.05))</formula>
    </cfRule>
    <cfRule type="expression" dxfId="100" priority="172">
      <formula>AND(F22&gt;=110,(C22-E22&gt;=0.05))</formula>
    </cfRule>
    <cfRule type="dataBar" priority="173">
      <dataBar showValue="0">
        <cfvo type="num" val="-100"/>
        <cfvo type="num" val="200"/>
        <color theme="8"/>
      </dataBar>
      <extLst>
        <ext xmlns:x14="http://schemas.microsoft.com/office/spreadsheetml/2009/9/main" uri="{B025F937-C7B1-47D3-B67F-A62EFF666E3E}">
          <x14:id>{6155CD23-AE23-40BC-92DC-7A8A01C91887}</x14:id>
        </ext>
      </extLst>
    </cfRule>
  </conditionalFormatting>
  <conditionalFormatting sqref="G45:G49">
    <cfRule type="dataBar" priority="168">
      <dataBar showValue="0">
        <cfvo type="num" val="-100"/>
        <cfvo type="num" val="200"/>
        <color theme="8"/>
      </dataBar>
      <extLst>
        <ext xmlns:x14="http://schemas.microsoft.com/office/spreadsheetml/2009/9/main" uri="{B025F937-C7B1-47D3-B67F-A62EFF666E3E}">
          <x14:id>{9ECD95B0-BC21-4C8E-8C5A-26C49DDB435E}</x14:id>
        </ext>
      </extLst>
    </cfRule>
    <cfRule type="expression" dxfId="99" priority="167">
      <formula>AND(F45&gt;=110,(C45-E45&gt;=0.05))</formula>
    </cfRule>
    <cfRule type="expression" dxfId="98" priority="166">
      <formula>AND(F45&lt;=90,(E45-C45&gt;=0.05))</formula>
    </cfRule>
  </conditionalFormatting>
  <conditionalFormatting sqref="G54:G72">
    <cfRule type="dataBar" priority="163">
      <dataBar showValue="0">
        <cfvo type="num" val="-100"/>
        <cfvo type="num" val="200"/>
        <color theme="8"/>
      </dataBar>
      <extLst>
        <ext xmlns:x14="http://schemas.microsoft.com/office/spreadsheetml/2009/9/main" uri="{B025F937-C7B1-47D3-B67F-A62EFF666E3E}">
          <x14:id>{082E2BBD-37B7-412D-A349-ED66DE1AF37C}</x14:id>
        </ext>
      </extLst>
    </cfRule>
    <cfRule type="expression" dxfId="97" priority="162">
      <formula>AND(F54&gt;=110,(C54-E54&gt;=0.05))</formula>
    </cfRule>
    <cfRule type="expression" dxfId="96" priority="161">
      <formula>AND(F54&lt;=90,(E54-C54&gt;=0.05))</formula>
    </cfRule>
  </conditionalFormatting>
  <conditionalFormatting sqref="G78:G81">
    <cfRule type="expression" dxfId="95" priority="157">
      <formula>AND(F78&gt;=110,(C78-E78&gt;=0.05))</formula>
    </cfRule>
    <cfRule type="expression" dxfId="94" priority="156">
      <formula>AND(F78&lt;=90,(E78-C78&gt;=0.05))</formula>
    </cfRule>
    <cfRule type="dataBar" priority="158">
      <dataBar showValue="0">
        <cfvo type="num" val="-100"/>
        <cfvo type="num" val="200"/>
        <color theme="8"/>
      </dataBar>
      <extLst>
        <ext xmlns:x14="http://schemas.microsoft.com/office/spreadsheetml/2009/9/main" uri="{B025F937-C7B1-47D3-B67F-A62EFF666E3E}">
          <x14:id>{F9AFC219-869C-4436-8D02-7D221E7F1566}</x14:id>
        </ext>
      </extLst>
    </cfRule>
  </conditionalFormatting>
  <conditionalFormatting sqref="G87:G88">
    <cfRule type="dataBar" priority="153">
      <dataBar showValue="0">
        <cfvo type="num" val="-100"/>
        <cfvo type="num" val="200"/>
        <color theme="8"/>
      </dataBar>
      <extLst>
        <ext xmlns:x14="http://schemas.microsoft.com/office/spreadsheetml/2009/9/main" uri="{B025F937-C7B1-47D3-B67F-A62EFF666E3E}">
          <x14:id>{6FF38260-D964-4346-A3E6-0810BCC9CFF4}</x14:id>
        </ext>
      </extLst>
    </cfRule>
    <cfRule type="expression" dxfId="93" priority="152">
      <formula>AND(F87&gt;=110,(C87-E87&gt;=0.05))</formula>
    </cfRule>
    <cfRule type="expression" dxfId="92" priority="151">
      <formula>AND(F87&lt;=90,(E87-C87&gt;=0.05))</formula>
    </cfRule>
  </conditionalFormatting>
  <conditionalFormatting sqref="G93:G97">
    <cfRule type="dataBar" priority="148">
      <dataBar showValue="0">
        <cfvo type="num" val="-100"/>
        <cfvo type="num" val="200"/>
        <color theme="8"/>
      </dataBar>
      <extLst>
        <ext xmlns:x14="http://schemas.microsoft.com/office/spreadsheetml/2009/9/main" uri="{B025F937-C7B1-47D3-B67F-A62EFF666E3E}">
          <x14:id>{C9D8B871-3B4A-4796-8F24-9D3B563E72B2}</x14:id>
        </ext>
      </extLst>
    </cfRule>
    <cfRule type="expression" dxfId="91" priority="146">
      <formula>AND(F93&lt;=90,(E93-C93&gt;=0.05))</formula>
    </cfRule>
    <cfRule type="expression" dxfId="90" priority="147">
      <formula>AND(F93&gt;=110,(C93-E93&gt;=0.05))</formula>
    </cfRule>
  </conditionalFormatting>
  <conditionalFormatting sqref="G104:G107">
    <cfRule type="dataBar" priority="143">
      <dataBar showValue="0">
        <cfvo type="num" val="-100"/>
        <cfvo type="num" val="200"/>
        <color theme="8"/>
      </dataBar>
      <extLst>
        <ext xmlns:x14="http://schemas.microsoft.com/office/spreadsheetml/2009/9/main" uri="{B025F937-C7B1-47D3-B67F-A62EFF666E3E}">
          <x14:id>{23039739-65AC-4C35-8D28-E0751335C7E9}</x14:id>
        </ext>
      </extLst>
    </cfRule>
    <cfRule type="expression" dxfId="89" priority="142">
      <formula>AND(F104&gt;=110,(C104-E104&gt;=0.05))</formula>
    </cfRule>
    <cfRule type="expression" dxfId="88" priority="141">
      <formula>AND(F104&lt;=90,(E104-C104&gt;=0.05))</formula>
    </cfRule>
  </conditionalFormatting>
  <conditionalFormatting sqref="G114:G121">
    <cfRule type="expression" dxfId="87" priority="136">
      <formula>AND(F114&lt;=90,(E114-C114&gt;=0.05))</formula>
    </cfRule>
    <cfRule type="dataBar" priority="138">
      <dataBar showValue="0">
        <cfvo type="num" val="-100"/>
        <cfvo type="num" val="200"/>
        <color theme="8"/>
      </dataBar>
      <extLst>
        <ext xmlns:x14="http://schemas.microsoft.com/office/spreadsheetml/2009/9/main" uri="{B025F937-C7B1-47D3-B67F-A62EFF666E3E}">
          <x14:id>{EB73FD22-ECCC-4C0D-95B9-04D381F9ECE8}</x14:id>
        </ext>
      </extLst>
    </cfRule>
    <cfRule type="expression" dxfId="86" priority="137">
      <formula>AND(F114&gt;=110,(C114-E114&gt;=0.05))</formula>
    </cfRule>
  </conditionalFormatting>
  <conditionalFormatting sqref="G130:G131">
    <cfRule type="expression" dxfId="85" priority="132">
      <formula>AND(F130&gt;=110,(C130-E130&gt;=0.05))</formula>
    </cfRule>
    <cfRule type="expression" dxfId="84" priority="131">
      <formula>AND(F130&lt;=90,(E130-C130&gt;=0.05))</formula>
    </cfRule>
    <cfRule type="dataBar" priority="133">
      <dataBar showValue="0">
        <cfvo type="num" val="-100"/>
        <cfvo type="num" val="200"/>
        <color theme="8"/>
      </dataBar>
      <extLst>
        <ext xmlns:x14="http://schemas.microsoft.com/office/spreadsheetml/2009/9/main" uri="{B025F937-C7B1-47D3-B67F-A62EFF666E3E}">
          <x14:id>{99C21F28-876D-4004-B94B-4480032FDC2E}</x14:id>
        </ext>
      </extLst>
    </cfRule>
  </conditionalFormatting>
  <conditionalFormatting sqref="G145:G149">
    <cfRule type="dataBar" priority="128">
      <dataBar showValue="0">
        <cfvo type="num" val="-100"/>
        <cfvo type="num" val="200"/>
        <color theme="8"/>
      </dataBar>
      <extLst>
        <ext xmlns:x14="http://schemas.microsoft.com/office/spreadsheetml/2009/9/main" uri="{B025F937-C7B1-47D3-B67F-A62EFF666E3E}">
          <x14:id>{BF6196E8-5391-4567-8C3B-8EFC6C1A8CC8}</x14:id>
        </ext>
      </extLst>
    </cfRule>
    <cfRule type="expression" dxfId="83" priority="127">
      <formula>AND(F145&gt;=110,(C145-E145&gt;=0.05))</formula>
    </cfRule>
    <cfRule type="expression" dxfId="82" priority="126">
      <formula>AND(F145&lt;=90,(E145-C145&gt;=0.05))</formula>
    </cfRule>
  </conditionalFormatting>
  <conditionalFormatting sqref="G155:G186">
    <cfRule type="expression" dxfId="81" priority="121">
      <formula>AND(F155&lt;=90,(E155-C155&gt;=0.05))</formula>
    </cfRule>
    <cfRule type="expression" dxfId="80" priority="122">
      <formula>AND(F155&gt;=110,(C155-E155&gt;=0.05))</formula>
    </cfRule>
    <cfRule type="dataBar" priority="123">
      <dataBar showValue="0">
        <cfvo type="num" val="-100"/>
        <cfvo type="num" val="200"/>
        <color theme="8"/>
      </dataBar>
      <extLst>
        <ext xmlns:x14="http://schemas.microsoft.com/office/spreadsheetml/2009/9/main" uri="{B025F937-C7B1-47D3-B67F-A62EFF666E3E}">
          <x14:id>{B3D23395-1D2B-4681-B116-3AA656FED9AC}</x14:id>
        </ext>
      </extLst>
    </cfRule>
  </conditionalFormatting>
  <conditionalFormatting sqref="G192:G196">
    <cfRule type="expression" dxfId="79" priority="116">
      <formula>AND(F192&lt;=90,(E192-C192&gt;=0.05))</formula>
    </cfRule>
    <cfRule type="expression" dxfId="78" priority="117">
      <formula>AND(F192&gt;=110,(C192-E192&gt;=0.05))</formula>
    </cfRule>
    <cfRule type="dataBar" priority="118">
      <dataBar showValue="0">
        <cfvo type="num" val="-100"/>
        <cfvo type="num" val="200"/>
        <color theme="8"/>
      </dataBar>
      <extLst>
        <ext xmlns:x14="http://schemas.microsoft.com/office/spreadsheetml/2009/9/main" uri="{B025F937-C7B1-47D3-B67F-A62EFF666E3E}">
          <x14:id>{36A879CF-4527-43CB-9709-71223C134967}</x14:id>
        </ext>
      </extLst>
    </cfRule>
  </conditionalFormatting>
  <conditionalFormatting sqref="G202:G205">
    <cfRule type="dataBar" priority="113">
      <dataBar showValue="0">
        <cfvo type="num" val="-100"/>
        <cfvo type="num" val="200"/>
        <color theme="8"/>
      </dataBar>
      <extLst>
        <ext xmlns:x14="http://schemas.microsoft.com/office/spreadsheetml/2009/9/main" uri="{B025F937-C7B1-47D3-B67F-A62EFF666E3E}">
          <x14:id>{7C2577E2-68C8-4F73-9367-B17E09FF689B}</x14:id>
        </ext>
      </extLst>
    </cfRule>
    <cfRule type="expression" dxfId="77" priority="111">
      <formula>AND(F202&lt;=90,(E202-C202&gt;=0.05))</formula>
    </cfRule>
    <cfRule type="expression" dxfId="76" priority="112">
      <formula>AND(F202&gt;=110,(C202-E202&gt;=0.05))</formula>
    </cfRule>
  </conditionalFormatting>
  <conditionalFormatting sqref="G213:G217">
    <cfRule type="dataBar" priority="108">
      <dataBar showValue="0">
        <cfvo type="num" val="-100"/>
        <cfvo type="num" val="200"/>
        <color theme="8"/>
      </dataBar>
      <extLst>
        <ext xmlns:x14="http://schemas.microsoft.com/office/spreadsheetml/2009/9/main" uri="{B025F937-C7B1-47D3-B67F-A62EFF666E3E}">
          <x14:id>{7FC22331-0B26-4205-92FB-F0B61382F7FB}</x14:id>
        </ext>
      </extLst>
    </cfRule>
    <cfRule type="expression" dxfId="75" priority="107">
      <formula>AND(F213&gt;=110,(C213-E213&gt;=0.05))</formula>
    </cfRule>
    <cfRule type="expression" dxfId="74" priority="106">
      <formula>AND(F213&lt;=90,(E213-C213&gt;=0.05))</formula>
    </cfRule>
  </conditionalFormatting>
  <conditionalFormatting sqref="G223:G225">
    <cfRule type="dataBar" priority="103">
      <dataBar showValue="0">
        <cfvo type="num" val="-100"/>
        <cfvo type="num" val="200"/>
        <color theme="8"/>
      </dataBar>
      <extLst>
        <ext xmlns:x14="http://schemas.microsoft.com/office/spreadsheetml/2009/9/main" uri="{B025F937-C7B1-47D3-B67F-A62EFF666E3E}">
          <x14:id>{99E87D43-B8C8-44EB-8B2A-8FA0E845E592}</x14:id>
        </ext>
      </extLst>
    </cfRule>
    <cfRule type="expression" dxfId="73" priority="102">
      <formula>AND(F223&gt;=110,(C223-E223&gt;=0.05))</formula>
    </cfRule>
    <cfRule type="expression" dxfId="72" priority="101">
      <formula>AND(F223&lt;=90,(E223-C223&gt;=0.05))</formula>
    </cfRule>
  </conditionalFormatting>
  <conditionalFormatting sqref="G231:G238">
    <cfRule type="expression" dxfId="71" priority="97">
      <formula>AND(F231&gt;=110,(C231-E231&gt;=0.05))</formula>
    </cfRule>
    <cfRule type="expression" dxfId="70" priority="96">
      <formula>AND(F231&lt;=90,(E231-C231&gt;=0.05))</formula>
    </cfRule>
    <cfRule type="dataBar" priority="98">
      <dataBar showValue="0">
        <cfvo type="num" val="-100"/>
        <cfvo type="num" val="200"/>
        <color theme="8"/>
      </dataBar>
      <extLst>
        <ext xmlns:x14="http://schemas.microsoft.com/office/spreadsheetml/2009/9/main" uri="{B025F937-C7B1-47D3-B67F-A62EFF666E3E}">
          <x14:id>{8034134D-77B9-49AE-B26B-CD5BCE9C3FBC}</x14:id>
        </ext>
      </extLst>
    </cfRule>
  </conditionalFormatting>
  <conditionalFormatting sqref="G246:G251">
    <cfRule type="expression" dxfId="69" priority="91">
      <formula>AND(F246&lt;=90,(E246-C246&gt;=0.05))</formula>
    </cfRule>
    <cfRule type="dataBar" priority="93">
      <dataBar showValue="0">
        <cfvo type="num" val="-100"/>
        <cfvo type="num" val="200"/>
        <color theme="8"/>
      </dataBar>
      <extLst>
        <ext xmlns:x14="http://schemas.microsoft.com/office/spreadsheetml/2009/9/main" uri="{B025F937-C7B1-47D3-B67F-A62EFF666E3E}">
          <x14:id>{C0BC2106-5C80-4C67-AAA3-60212F7726C6}</x14:id>
        </ext>
      </extLst>
    </cfRule>
    <cfRule type="expression" dxfId="68" priority="92">
      <formula>AND(F246&gt;=110,(C246-E246&gt;=0.05))</formula>
    </cfRule>
  </conditionalFormatting>
  <conditionalFormatting sqref="G257:G265">
    <cfRule type="dataBar" priority="88">
      <dataBar showValue="0">
        <cfvo type="num" val="-100"/>
        <cfvo type="num" val="200"/>
        <color theme="8"/>
      </dataBar>
      <extLst>
        <ext xmlns:x14="http://schemas.microsoft.com/office/spreadsheetml/2009/9/main" uri="{B025F937-C7B1-47D3-B67F-A62EFF666E3E}">
          <x14:id>{D9544ACD-5019-4365-A321-701D7D6C5BB0}</x14:id>
        </ext>
      </extLst>
    </cfRule>
    <cfRule type="expression" dxfId="67" priority="86">
      <formula>AND(F257&lt;=90,(E257-C257&gt;=0.05))</formula>
    </cfRule>
    <cfRule type="expression" dxfId="66" priority="87">
      <formula>AND(F257&gt;=110,(C257-E257&gt;=0.05))</formula>
    </cfRule>
  </conditionalFormatting>
  <conditionalFormatting sqref="G270:G271">
    <cfRule type="expression" dxfId="65" priority="81">
      <formula>AND(F270&lt;=90,(E270-C270&gt;=0.05))</formula>
    </cfRule>
    <cfRule type="expression" dxfId="64" priority="82">
      <formula>AND(F270&gt;=110,(C270-E270&gt;=0.05))</formula>
    </cfRule>
    <cfRule type="dataBar" priority="83">
      <dataBar showValue="0">
        <cfvo type="num" val="-100"/>
        <cfvo type="num" val="200"/>
        <color theme="8"/>
      </dataBar>
      <extLst>
        <ext xmlns:x14="http://schemas.microsoft.com/office/spreadsheetml/2009/9/main" uri="{B025F937-C7B1-47D3-B67F-A62EFF666E3E}">
          <x14:id>{BCE59ACB-1FA4-42DF-820B-5E58ADD78F30}</x14:id>
        </ext>
      </extLst>
    </cfRule>
  </conditionalFormatting>
  <conditionalFormatting sqref="G273:G274 G276:G277 G279:G280">
    <cfRule type="expression" dxfId="63" priority="76">
      <formula>AND(F273&lt;=90,(E273-C273&gt;=0.05))</formula>
    </cfRule>
    <cfRule type="expression" dxfId="62" priority="77">
      <formula>AND(F273&gt;=110,(C273-E273&gt;=0.05))</formula>
    </cfRule>
  </conditionalFormatting>
  <conditionalFormatting sqref="G279:G280 G276:G277 G273:G274">
    <cfRule type="dataBar" priority="78">
      <dataBar showValue="0">
        <cfvo type="num" val="-100"/>
        <cfvo type="num" val="200"/>
        <color theme="8"/>
      </dataBar>
      <extLst>
        <ext xmlns:x14="http://schemas.microsoft.com/office/spreadsheetml/2009/9/main" uri="{B025F937-C7B1-47D3-B67F-A62EFF666E3E}">
          <x14:id>{7DEAC626-B2B9-4872-979E-496357B3918E}</x14:id>
        </ext>
      </extLst>
    </cfRule>
  </conditionalFormatting>
  <conditionalFormatting sqref="G286:G298">
    <cfRule type="dataBar" priority="73">
      <dataBar showValue="0">
        <cfvo type="num" val="-100"/>
        <cfvo type="num" val="200"/>
        <color theme="8"/>
      </dataBar>
      <extLst>
        <ext xmlns:x14="http://schemas.microsoft.com/office/spreadsheetml/2009/9/main" uri="{B025F937-C7B1-47D3-B67F-A62EFF666E3E}">
          <x14:id>{51485168-0CFC-448A-92EB-739A4AEB31B4}</x14:id>
        </ext>
      </extLst>
    </cfRule>
    <cfRule type="expression" dxfId="61" priority="72">
      <formula>AND(F286&gt;=110,(C286-E286&gt;=0.05))</formula>
    </cfRule>
    <cfRule type="expression" dxfId="60" priority="71">
      <formula>AND(F286&lt;=90,(E286-C286&gt;=0.05))</formula>
    </cfRule>
  </conditionalFormatting>
  <conditionalFormatting sqref="G305:G316">
    <cfRule type="dataBar" priority="68">
      <dataBar showValue="0">
        <cfvo type="num" val="-100"/>
        <cfvo type="num" val="200"/>
        <color theme="8"/>
      </dataBar>
      <extLst>
        <ext xmlns:x14="http://schemas.microsoft.com/office/spreadsheetml/2009/9/main" uri="{B025F937-C7B1-47D3-B67F-A62EFF666E3E}">
          <x14:id>{A0DBD682-466D-4B05-8E99-9622D50952AE}</x14:id>
        </ext>
      </extLst>
    </cfRule>
    <cfRule type="expression" dxfId="59" priority="66">
      <formula>AND(F305&lt;=90,(E305-C305&gt;=0.05))</formula>
    </cfRule>
    <cfRule type="expression" dxfId="58" priority="67">
      <formula>AND(F305&gt;=110,(C305-E305&gt;=0.05))</formula>
    </cfRule>
  </conditionalFormatting>
  <conditionalFormatting sqref="G321:G333">
    <cfRule type="dataBar" priority="63">
      <dataBar showValue="0">
        <cfvo type="num" val="-100"/>
        <cfvo type="num" val="200"/>
        <color theme="8"/>
      </dataBar>
      <extLst>
        <ext xmlns:x14="http://schemas.microsoft.com/office/spreadsheetml/2009/9/main" uri="{B025F937-C7B1-47D3-B67F-A62EFF666E3E}">
          <x14:id>{93899D87-F16D-4237-AAF4-C9F1131DD1BC}</x14:id>
        </ext>
      </extLst>
    </cfRule>
    <cfRule type="expression" dxfId="57" priority="61">
      <formula>AND(F321&lt;=90,(E321-C321&gt;=0.05))</formula>
    </cfRule>
    <cfRule type="expression" dxfId="56" priority="62">
      <formula>AND(F321&gt;=110,(C321-E321&gt;=0.05))</formula>
    </cfRule>
  </conditionalFormatting>
  <conditionalFormatting sqref="G338:G342">
    <cfRule type="dataBar" priority="58">
      <dataBar showValue="0">
        <cfvo type="num" val="-100"/>
        <cfvo type="num" val="200"/>
        <color theme="8"/>
      </dataBar>
      <extLst>
        <ext xmlns:x14="http://schemas.microsoft.com/office/spreadsheetml/2009/9/main" uri="{B025F937-C7B1-47D3-B67F-A62EFF666E3E}">
          <x14:id>{C31323EC-168E-4987-8BDA-FC4E44FCAC6F}</x14:id>
        </ext>
      </extLst>
    </cfRule>
    <cfRule type="expression" dxfId="55" priority="57">
      <formula>AND(F338&gt;=110,(C338-E338&gt;=0.05))</formula>
    </cfRule>
    <cfRule type="expression" dxfId="54" priority="56">
      <formula>AND(F338&lt;=90,(E338-C338&gt;=0.05))</formula>
    </cfRule>
  </conditionalFormatting>
  <conditionalFormatting sqref="G348:G368">
    <cfRule type="dataBar" priority="53">
      <dataBar showValue="0">
        <cfvo type="num" val="-100"/>
        <cfvo type="num" val="200"/>
        <color theme="8"/>
      </dataBar>
      <extLst>
        <ext xmlns:x14="http://schemas.microsoft.com/office/spreadsheetml/2009/9/main" uri="{B025F937-C7B1-47D3-B67F-A62EFF666E3E}">
          <x14:id>{418A9240-5F96-4E19-ABEB-FA08D987ACF7}</x14:id>
        </ext>
      </extLst>
    </cfRule>
    <cfRule type="expression" dxfId="53" priority="52">
      <formula>AND(F348&gt;=110,(C348-E348&gt;=0.05))</formula>
    </cfRule>
    <cfRule type="expression" dxfId="52" priority="51">
      <formula>AND(F348&lt;=90,(E348-C348&gt;=0.05))</formula>
    </cfRule>
  </conditionalFormatting>
  <conditionalFormatting sqref="G373:G392">
    <cfRule type="expression" dxfId="51" priority="46">
      <formula>AND(F373&lt;=90,(E373-C373&gt;=0.05))</formula>
    </cfRule>
    <cfRule type="expression" dxfId="50" priority="47">
      <formula>AND(F373&gt;=110,(C373-E373&gt;=0.05))</formula>
    </cfRule>
    <cfRule type="dataBar" priority="48">
      <dataBar showValue="0">
        <cfvo type="num" val="-100"/>
        <cfvo type="num" val="200"/>
        <color theme="8"/>
      </dataBar>
      <extLst>
        <ext xmlns:x14="http://schemas.microsoft.com/office/spreadsheetml/2009/9/main" uri="{B025F937-C7B1-47D3-B67F-A62EFF666E3E}">
          <x14:id>{37A5BE74-DDD6-4040-B207-31353B453358}</x14:id>
        </ext>
      </extLst>
    </cfRule>
  </conditionalFormatting>
  <conditionalFormatting sqref="G403:G407">
    <cfRule type="expression" dxfId="49" priority="41">
      <formula>AND(F403&lt;=90,(E403-C403&gt;=0.05))</formula>
    </cfRule>
    <cfRule type="expression" dxfId="48" priority="42">
      <formula>AND(F403&gt;=110,(C403-E403&gt;=0.05))</formula>
    </cfRule>
    <cfRule type="dataBar" priority="43">
      <dataBar showValue="0">
        <cfvo type="num" val="-100"/>
        <cfvo type="num" val="200"/>
        <color theme="8"/>
      </dataBar>
      <extLst>
        <ext xmlns:x14="http://schemas.microsoft.com/office/spreadsheetml/2009/9/main" uri="{B025F937-C7B1-47D3-B67F-A62EFF666E3E}">
          <x14:id>{05EE4EF2-67BB-4EFB-B294-67B9FA004E49}</x14:id>
        </ext>
      </extLst>
    </cfRule>
  </conditionalFormatting>
  <conditionalFormatting sqref="G414:G420">
    <cfRule type="expression" dxfId="47" priority="36">
      <formula>AND(F414&lt;=90,(E414-C414&gt;=0.05))</formula>
    </cfRule>
    <cfRule type="expression" dxfId="46" priority="37">
      <formula>AND(F414&gt;=110,(C414-E414&gt;=0.05))</formula>
    </cfRule>
    <cfRule type="dataBar" priority="38">
      <dataBar showValue="0">
        <cfvo type="num" val="-100"/>
        <cfvo type="num" val="200"/>
        <color theme="8"/>
      </dataBar>
      <extLst>
        <ext xmlns:x14="http://schemas.microsoft.com/office/spreadsheetml/2009/9/main" uri="{B025F937-C7B1-47D3-B67F-A62EFF666E3E}">
          <x14:id>{5DD03060-B455-4C71-8A1C-4006E45145FD}</x14:id>
        </ext>
      </extLst>
    </cfRule>
  </conditionalFormatting>
  <conditionalFormatting sqref="G428:G435">
    <cfRule type="expression" dxfId="45" priority="31">
      <formula>AND(F428&lt;=90,(E428-C428&gt;=0.05))</formula>
    </cfRule>
    <cfRule type="expression" dxfId="44" priority="32">
      <formula>AND(F428&gt;=110,(C428-E428&gt;=0.05))</formula>
    </cfRule>
    <cfRule type="dataBar" priority="33">
      <dataBar showValue="0">
        <cfvo type="num" val="-100"/>
        <cfvo type="num" val="200"/>
        <color theme="8"/>
      </dataBar>
      <extLst>
        <ext xmlns:x14="http://schemas.microsoft.com/office/spreadsheetml/2009/9/main" uri="{B025F937-C7B1-47D3-B67F-A62EFF666E3E}">
          <x14:id>{88FAFEB7-1080-465A-AF4D-7BE4F2A1EB71}</x14:id>
        </ext>
      </extLst>
    </cfRule>
  </conditionalFormatting>
  <conditionalFormatting sqref="G441:G449">
    <cfRule type="expression" dxfId="43" priority="26">
      <formula>AND(F441&lt;=90,(E441-C441&gt;=0.05))</formula>
    </cfRule>
    <cfRule type="dataBar" priority="28">
      <dataBar showValue="0">
        <cfvo type="num" val="-100"/>
        <cfvo type="num" val="200"/>
        <color theme="8"/>
      </dataBar>
      <extLst>
        <ext xmlns:x14="http://schemas.microsoft.com/office/spreadsheetml/2009/9/main" uri="{B025F937-C7B1-47D3-B67F-A62EFF666E3E}">
          <x14:id>{A3C87A8F-1EED-4B68-B696-9EE20B111C3A}</x14:id>
        </ext>
      </extLst>
    </cfRule>
    <cfRule type="expression" dxfId="42" priority="27">
      <formula>AND(F441&gt;=110,(C441-E441&gt;=0.05))</formula>
    </cfRule>
  </conditionalFormatting>
  <conditionalFormatting sqref="G455:G463">
    <cfRule type="dataBar" priority="23">
      <dataBar showValue="0">
        <cfvo type="num" val="-100"/>
        <cfvo type="num" val="200"/>
        <color theme="8"/>
      </dataBar>
      <extLst>
        <ext xmlns:x14="http://schemas.microsoft.com/office/spreadsheetml/2009/9/main" uri="{B025F937-C7B1-47D3-B67F-A62EFF666E3E}">
          <x14:id>{2017002F-80C0-4E3F-9D6E-E221CC27AD9F}</x14:id>
        </ext>
      </extLst>
    </cfRule>
    <cfRule type="expression" dxfId="41" priority="22">
      <formula>AND(F455&gt;=110,(C455-E455&gt;=0.05))</formula>
    </cfRule>
    <cfRule type="expression" dxfId="40" priority="21">
      <formula>AND(F455&lt;=90,(E455-C455&gt;=0.05))</formula>
    </cfRule>
  </conditionalFormatting>
  <conditionalFormatting sqref="G468:G472">
    <cfRule type="dataBar" priority="18">
      <dataBar showValue="0">
        <cfvo type="num" val="-100"/>
        <cfvo type="num" val="200"/>
        <color theme="8"/>
      </dataBar>
      <extLst>
        <ext xmlns:x14="http://schemas.microsoft.com/office/spreadsheetml/2009/9/main" uri="{B025F937-C7B1-47D3-B67F-A62EFF666E3E}">
          <x14:id>{948472AB-20EA-4B68-BDAD-066371E0B4F5}</x14:id>
        </ext>
      </extLst>
    </cfRule>
    <cfRule type="expression" dxfId="39" priority="17">
      <formula>AND(F468&gt;=110,(C468-E468&gt;=0.05))</formula>
    </cfRule>
    <cfRule type="expression" dxfId="38" priority="16">
      <formula>AND(F468&lt;=90,(E468-C468&gt;=0.05))</formula>
    </cfRule>
  </conditionalFormatting>
  <conditionalFormatting sqref="G478:G500">
    <cfRule type="dataBar" priority="13">
      <dataBar showValue="0">
        <cfvo type="num" val="-100"/>
        <cfvo type="num" val="200"/>
        <color theme="8"/>
      </dataBar>
      <extLst>
        <ext xmlns:x14="http://schemas.microsoft.com/office/spreadsheetml/2009/9/main" uri="{B025F937-C7B1-47D3-B67F-A62EFF666E3E}">
          <x14:id>{6C2DEF9D-F769-474D-9EFA-9688BD178778}</x14:id>
        </ext>
      </extLst>
    </cfRule>
    <cfRule type="expression" dxfId="37" priority="12">
      <formula>AND(F478&gt;=110,(C478-E478&gt;=0.05))</formula>
    </cfRule>
    <cfRule type="expression" dxfId="36" priority="11">
      <formula>AND(F478&lt;=90,(E478-C478&gt;=0.05))</formula>
    </cfRule>
  </conditionalFormatting>
  <conditionalFormatting sqref="G506:G509">
    <cfRule type="dataBar" priority="8">
      <dataBar showValue="0">
        <cfvo type="num" val="-100"/>
        <cfvo type="num" val="200"/>
        <color theme="8"/>
      </dataBar>
      <extLst>
        <ext xmlns:x14="http://schemas.microsoft.com/office/spreadsheetml/2009/9/main" uri="{B025F937-C7B1-47D3-B67F-A62EFF666E3E}">
          <x14:id>{99848AAF-79A5-4105-8B8D-970F753CA732}</x14:id>
        </ext>
      </extLst>
    </cfRule>
    <cfRule type="expression" dxfId="35" priority="7">
      <formula>AND(F506&gt;=110,(C506-E506&gt;=0.05))</formula>
    </cfRule>
    <cfRule type="expression" dxfId="34" priority="6">
      <formula>AND(F506&lt;=90,(E506-C506&gt;=0.05))</formula>
    </cfRule>
  </conditionalFormatting>
  <conditionalFormatting sqref="G529:G530">
    <cfRule type="dataBar" priority="3">
      <dataBar showValue="0">
        <cfvo type="num" val="-100"/>
        <cfvo type="num" val="200"/>
        <color theme="8"/>
      </dataBar>
      <extLst>
        <ext xmlns:x14="http://schemas.microsoft.com/office/spreadsheetml/2009/9/main" uri="{B025F937-C7B1-47D3-B67F-A62EFF666E3E}">
          <x14:id>{2770BD30-BD63-4F78-ACBB-40FE4F8C3674}</x14:id>
        </ext>
      </extLst>
    </cfRule>
    <cfRule type="expression" dxfId="33" priority="2">
      <formula>AND(F529&gt;=110,(C529-E529&gt;=0.05))</formula>
    </cfRule>
    <cfRule type="expression" dxfId="32" priority="1">
      <formula>AND(F529&lt;=90,(E529-C529&gt;=0.05))</formula>
    </cfRule>
  </conditionalFormatting>
  <pageMargins left="0.70866141732283472" right="0.70866141732283472" top="0.74803149606299213" bottom="0.74803149606299213" header="0.31496062992125984" footer="0.31496062992125984"/>
  <pageSetup paperSize="9" scale="77" orientation="portrait" horizontalDpi="1200" verticalDpi="1200" r:id="rId1"/>
  <rowBreaks count="3" manualBreakCount="3">
    <brk id="41" max="4" man="1"/>
    <brk id="398" max="4" man="1"/>
    <brk id="410" max="4" man="1"/>
  </rowBreaks>
  <drawing r:id="rId2"/>
  <extLst>
    <ext xmlns:x14="http://schemas.microsoft.com/office/spreadsheetml/2009/9/main" uri="{78C0D931-6437-407d-A8EE-F0AAD7539E65}">
      <x14:conditionalFormattings>
        <x14:conditionalFormatting xmlns:xm="http://schemas.microsoft.com/office/excel/2006/main">
          <x14:cfRule type="dataBar" id="{6155CD23-AE23-40BC-92DC-7A8A01C91887}">
            <x14:dataBar minLength="0" maxLength="100" gradient="0" direction="leftToRight">
              <x14:cfvo type="num">
                <xm:f>-100</xm:f>
              </x14:cfvo>
              <x14:cfvo type="num">
                <xm:f>200</xm:f>
              </x14:cfvo>
              <x14:negativeFillColor theme="5"/>
              <x14:axisColor theme="1"/>
            </x14:dataBar>
          </x14:cfRule>
          <xm:sqref>G22:G39</xm:sqref>
        </x14:conditionalFormatting>
        <x14:conditionalFormatting xmlns:xm="http://schemas.microsoft.com/office/excel/2006/main">
          <x14:cfRule type="dataBar" id="{9ECD95B0-BC21-4C8E-8C5A-26C49DDB435E}">
            <x14:dataBar minLength="0" maxLength="100" gradient="0" direction="leftToRight">
              <x14:cfvo type="num">
                <xm:f>-100</xm:f>
              </x14:cfvo>
              <x14:cfvo type="num">
                <xm:f>200</xm:f>
              </x14:cfvo>
              <x14:negativeFillColor theme="5"/>
              <x14:axisColor theme="1"/>
            </x14:dataBar>
          </x14:cfRule>
          <xm:sqref>G45:G49</xm:sqref>
        </x14:conditionalFormatting>
        <x14:conditionalFormatting xmlns:xm="http://schemas.microsoft.com/office/excel/2006/main">
          <x14:cfRule type="dataBar" id="{082E2BBD-37B7-412D-A349-ED66DE1AF37C}">
            <x14:dataBar minLength="0" maxLength="100" gradient="0" direction="leftToRight">
              <x14:cfvo type="num">
                <xm:f>-100</xm:f>
              </x14:cfvo>
              <x14:cfvo type="num">
                <xm:f>200</xm:f>
              </x14:cfvo>
              <x14:negativeFillColor theme="5"/>
              <x14:axisColor theme="1"/>
            </x14:dataBar>
          </x14:cfRule>
          <xm:sqref>G54:G72</xm:sqref>
        </x14:conditionalFormatting>
        <x14:conditionalFormatting xmlns:xm="http://schemas.microsoft.com/office/excel/2006/main">
          <x14:cfRule type="dataBar" id="{F9AFC219-869C-4436-8D02-7D221E7F1566}">
            <x14:dataBar minLength="0" maxLength="100" gradient="0" direction="leftToRight">
              <x14:cfvo type="num">
                <xm:f>-100</xm:f>
              </x14:cfvo>
              <x14:cfvo type="num">
                <xm:f>200</xm:f>
              </x14:cfvo>
              <x14:negativeFillColor theme="5"/>
              <x14:axisColor theme="1"/>
            </x14:dataBar>
          </x14:cfRule>
          <xm:sqref>G78:G81</xm:sqref>
        </x14:conditionalFormatting>
        <x14:conditionalFormatting xmlns:xm="http://schemas.microsoft.com/office/excel/2006/main">
          <x14:cfRule type="dataBar" id="{6FF38260-D964-4346-A3E6-0810BCC9CFF4}">
            <x14:dataBar minLength="0" maxLength="100" gradient="0" direction="leftToRight">
              <x14:cfvo type="num">
                <xm:f>-100</xm:f>
              </x14:cfvo>
              <x14:cfvo type="num">
                <xm:f>200</xm:f>
              </x14:cfvo>
              <x14:negativeFillColor theme="5"/>
              <x14:axisColor theme="1"/>
            </x14:dataBar>
          </x14:cfRule>
          <xm:sqref>G87:G88</xm:sqref>
        </x14:conditionalFormatting>
        <x14:conditionalFormatting xmlns:xm="http://schemas.microsoft.com/office/excel/2006/main">
          <x14:cfRule type="dataBar" id="{C9D8B871-3B4A-4796-8F24-9D3B563E72B2}">
            <x14:dataBar minLength="0" maxLength="100" gradient="0" direction="leftToRight">
              <x14:cfvo type="num">
                <xm:f>-100</xm:f>
              </x14:cfvo>
              <x14:cfvo type="num">
                <xm:f>200</xm:f>
              </x14:cfvo>
              <x14:negativeFillColor theme="5"/>
              <x14:axisColor theme="1"/>
            </x14:dataBar>
          </x14:cfRule>
          <xm:sqref>G93:G97</xm:sqref>
        </x14:conditionalFormatting>
        <x14:conditionalFormatting xmlns:xm="http://schemas.microsoft.com/office/excel/2006/main">
          <x14:cfRule type="dataBar" id="{23039739-65AC-4C35-8D28-E0751335C7E9}">
            <x14:dataBar minLength="0" maxLength="100" gradient="0" direction="leftToRight">
              <x14:cfvo type="num">
                <xm:f>-100</xm:f>
              </x14:cfvo>
              <x14:cfvo type="num">
                <xm:f>200</xm:f>
              </x14:cfvo>
              <x14:negativeFillColor theme="5"/>
              <x14:axisColor theme="1"/>
            </x14:dataBar>
          </x14:cfRule>
          <xm:sqref>G104:G107</xm:sqref>
        </x14:conditionalFormatting>
        <x14:conditionalFormatting xmlns:xm="http://schemas.microsoft.com/office/excel/2006/main">
          <x14:cfRule type="dataBar" id="{EB73FD22-ECCC-4C0D-95B9-04D381F9ECE8}">
            <x14:dataBar minLength="0" maxLength="100" gradient="0" direction="leftToRight">
              <x14:cfvo type="num">
                <xm:f>-100</xm:f>
              </x14:cfvo>
              <x14:cfvo type="num">
                <xm:f>200</xm:f>
              </x14:cfvo>
              <x14:negativeFillColor theme="5"/>
              <x14:axisColor theme="1"/>
            </x14:dataBar>
          </x14:cfRule>
          <xm:sqref>G114:G121</xm:sqref>
        </x14:conditionalFormatting>
        <x14:conditionalFormatting xmlns:xm="http://schemas.microsoft.com/office/excel/2006/main">
          <x14:cfRule type="dataBar" id="{99C21F28-876D-4004-B94B-4480032FDC2E}">
            <x14:dataBar minLength="0" maxLength="100" gradient="0" direction="leftToRight">
              <x14:cfvo type="num">
                <xm:f>-100</xm:f>
              </x14:cfvo>
              <x14:cfvo type="num">
                <xm:f>200</xm:f>
              </x14:cfvo>
              <x14:negativeFillColor theme="5"/>
              <x14:axisColor theme="1"/>
            </x14:dataBar>
          </x14:cfRule>
          <xm:sqref>G130:G131</xm:sqref>
        </x14:conditionalFormatting>
        <x14:conditionalFormatting xmlns:xm="http://schemas.microsoft.com/office/excel/2006/main">
          <x14:cfRule type="dataBar" id="{BF6196E8-5391-4567-8C3B-8EFC6C1A8CC8}">
            <x14:dataBar minLength="0" maxLength="100" gradient="0" direction="leftToRight">
              <x14:cfvo type="num">
                <xm:f>-100</xm:f>
              </x14:cfvo>
              <x14:cfvo type="num">
                <xm:f>200</xm:f>
              </x14:cfvo>
              <x14:negativeFillColor theme="5"/>
              <x14:axisColor theme="1"/>
            </x14:dataBar>
          </x14:cfRule>
          <xm:sqref>G145:G149</xm:sqref>
        </x14:conditionalFormatting>
        <x14:conditionalFormatting xmlns:xm="http://schemas.microsoft.com/office/excel/2006/main">
          <x14:cfRule type="dataBar" id="{B3D23395-1D2B-4681-B116-3AA656FED9AC}">
            <x14:dataBar minLength="0" maxLength="100" gradient="0" direction="leftToRight">
              <x14:cfvo type="num">
                <xm:f>-100</xm:f>
              </x14:cfvo>
              <x14:cfvo type="num">
                <xm:f>200</xm:f>
              </x14:cfvo>
              <x14:negativeFillColor theme="5"/>
              <x14:axisColor theme="1"/>
            </x14:dataBar>
          </x14:cfRule>
          <xm:sqref>G155:G186</xm:sqref>
        </x14:conditionalFormatting>
        <x14:conditionalFormatting xmlns:xm="http://schemas.microsoft.com/office/excel/2006/main">
          <x14:cfRule type="dataBar" id="{36A879CF-4527-43CB-9709-71223C134967}">
            <x14:dataBar minLength="0" maxLength="100" gradient="0" direction="leftToRight">
              <x14:cfvo type="num">
                <xm:f>-100</xm:f>
              </x14:cfvo>
              <x14:cfvo type="num">
                <xm:f>200</xm:f>
              </x14:cfvo>
              <x14:negativeFillColor theme="5"/>
              <x14:axisColor theme="1"/>
            </x14:dataBar>
          </x14:cfRule>
          <xm:sqref>G192:G196</xm:sqref>
        </x14:conditionalFormatting>
        <x14:conditionalFormatting xmlns:xm="http://schemas.microsoft.com/office/excel/2006/main">
          <x14:cfRule type="dataBar" id="{7C2577E2-68C8-4F73-9367-B17E09FF689B}">
            <x14:dataBar minLength="0" maxLength="100" gradient="0" direction="leftToRight">
              <x14:cfvo type="num">
                <xm:f>-100</xm:f>
              </x14:cfvo>
              <x14:cfvo type="num">
                <xm:f>200</xm:f>
              </x14:cfvo>
              <x14:negativeFillColor theme="5"/>
              <x14:axisColor theme="1"/>
            </x14:dataBar>
          </x14:cfRule>
          <xm:sqref>G202:G205</xm:sqref>
        </x14:conditionalFormatting>
        <x14:conditionalFormatting xmlns:xm="http://schemas.microsoft.com/office/excel/2006/main">
          <x14:cfRule type="dataBar" id="{7FC22331-0B26-4205-92FB-F0B61382F7FB}">
            <x14:dataBar minLength="0" maxLength="100" gradient="0" direction="leftToRight">
              <x14:cfvo type="num">
                <xm:f>-100</xm:f>
              </x14:cfvo>
              <x14:cfvo type="num">
                <xm:f>200</xm:f>
              </x14:cfvo>
              <x14:negativeFillColor theme="5"/>
              <x14:axisColor theme="1"/>
            </x14:dataBar>
          </x14:cfRule>
          <xm:sqref>G213:G217</xm:sqref>
        </x14:conditionalFormatting>
        <x14:conditionalFormatting xmlns:xm="http://schemas.microsoft.com/office/excel/2006/main">
          <x14:cfRule type="dataBar" id="{99E87D43-B8C8-44EB-8B2A-8FA0E845E592}">
            <x14:dataBar minLength="0" maxLength="100" gradient="0" direction="leftToRight">
              <x14:cfvo type="num">
                <xm:f>-100</xm:f>
              </x14:cfvo>
              <x14:cfvo type="num">
                <xm:f>200</xm:f>
              </x14:cfvo>
              <x14:negativeFillColor theme="5"/>
              <x14:axisColor theme="1"/>
            </x14:dataBar>
          </x14:cfRule>
          <xm:sqref>G223:G225</xm:sqref>
        </x14:conditionalFormatting>
        <x14:conditionalFormatting xmlns:xm="http://schemas.microsoft.com/office/excel/2006/main">
          <x14:cfRule type="dataBar" id="{8034134D-77B9-49AE-B26B-CD5BCE9C3FBC}">
            <x14:dataBar minLength="0" maxLength="100" gradient="0" direction="leftToRight">
              <x14:cfvo type="num">
                <xm:f>-100</xm:f>
              </x14:cfvo>
              <x14:cfvo type="num">
                <xm:f>200</xm:f>
              </x14:cfvo>
              <x14:negativeFillColor theme="5"/>
              <x14:axisColor theme="1"/>
            </x14:dataBar>
          </x14:cfRule>
          <xm:sqref>G231:G238</xm:sqref>
        </x14:conditionalFormatting>
        <x14:conditionalFormatting xmlns:xm="http://schemas.microsoft.com/office/excel/2006/main">
          <x14:cfRule type="dataBar" id="{C0BC2106-5C80-4C67-AAA3-60212F7726C6}">
            <x14:dataBar minLength="0" maxLength="100" gradient="0" direction="leftToRight">
              <x14:cfvo type="num">
                <xm:f>-100</xm:f>
              </x14:cfvo>
              <x14:cfvo type="num">
                <xm:f>200</xm:f>
              </x14:cfvo>
              <x14:negativeFillColor theme="5"/>
              <x14:axisColor theme="1"/>
            </x14:dataBar>
          </x14:cfRule>
          <xm:sqref>G246:G251</xm:sqref>
        </x14:conditionalFormatting>
        <x14:conditionalFormatting xmlns:xm="http://schemas.microsoft.com/office/excel/2006/main">
          <x14:cfRule type="dataBar" id="{D9544ACD-5019-4365-A321-701D7D6C5BB0}">
            <x14:dataBar minLength="0" maxLength="100" gradient="0" direction="leftToRight">
              <x14:cfvo type="num">
                <xm:f>-100</xm:f>
              </x14:cfvo>
              <x14:cfvo type="num">
                <xm:f>200</xm:f>
              </x14:cfvo>
              <x14:negativeFillColor theme="5"/>
              <x14:axisColor theme="1"/>
            </x14:dataBar>
          </x14:cfRule>
          <xm:sqref>G257:G265</xm:sqref>
        </x14:conditionalFormatting>
        <x14:conditionalFormatting xmlns:xm="http://schemas.microsoft.com/office/excel/2006/main">
          <x14:cfRule type="dataBar" id="{BCE59ACB-1FA4-42DF-820B-5E58ADD78F30}">
            <x14:dataBar minLength="0" maxLength="100" gradient="0" direction="leftToRight">
              <x14:cfvo type="num">
                <xm:f>-100</xm:f>
              </x14:cfvo>
              <x14:cfvo type="num">
                <xm:f>200</xm:f>
              </x14:cfvo>
              <x14:negativeFillColor theme="5"/>
              <x14:axisColor theme="1"/>
            </x14:dataBar>
          </x14:cfRule>
          <xm:sqref>G270:G271</xm:sqref>
        </x14:conditionalFormatting>
        <x14:conditionalFormatting xmlns:xm="http://schemas.microsoft.com/office/excel/2006/main">
          <x14:cfRule type="dataBar" id="{7DEAC626-B2B9-4872-979E-496357B3918E}">
            <x14:dataBar minLength="0" maxLength="100" gradient="0" direction="leftToRight">
              <x14:cfvo type="num">
                <xm:f>-100</xm:f>
              </x14:cfvo>
              <x14:cfvo type="num">
                <xm:f>200</xm:f>
              </x14:cfvo>
              <x14:negativeFillColor theme="5"/>
              <x14:axisColor theme="1"/>
            </x14:dataBar>
          </x14:cfRule>
          <xm:sqref>G279:G280 G276:G277 G273:G274</xm:sqref>
        </x14:conditionalFormatting>
        <x14:conditionalFormatting xmlns:xm="http://schemas.microsoft.com/office/excel/2006/main">
          <x14:cfRule type="dataBar" id="{51485168-0CFC-448A-92EB-739A4AEB31B4}">
            <x14:dataBar minLength="0" maxLength="100" gradient="0" direction="leftToRight">
              <x14:cfvo type="num">
                <xm:f>-100</xm:f>
              </x14:cfvo>
              <x14:cfvo type="num">
                <xm:f>200</xm:f>
              </x14:cfvo>
              <x14:negativeFillColor theme="5"/>
              <x14:axisColor theme="1"/>
            </x14:dataBar>
          </x14:cfRule>
          <xm:sqref>G286:G298</xm:sqref>
        </x14:conditionalFormatting>
        <x14:conditionalFormatting xmlns:xm="http://schemas.microsoft.com/office/excel/2006/main">
          <x14:cfRule type="dataBar" id="{A0DBD682-466D-4B05-8E99-9622D50952AE}">
            <x14:dataBar minLength="0" maxLength="100" gradient="0" direction="leftToRight">
              <x14:cfvo type="num">
                <xm:f>-100</xm:f>
              </x14:cfvo>
              <x14:cfvo type="num">
                <xm:f>200</xm:f>
              </x14:cfvo>
              <x14:negativeFillColor theme="5"/>
              <x14:axisColor theme="1"/>
            </x14:dataBar>
          </x14:cfRule>
          <xm:sqref>G305:G316</xm:sqref>
        </x14:conditionalFormatting>
        <x14:conditionalFormatting xmlns:xm="http://schemas.microsoft.com/office/excel/2006/main">
          <x14:cfRule type="dataBar" id="{93899D87-F16D-4237-AAF4-C9F1131DD1BC}">
            <x14:dataBar minLength="0" maxLength="100" gradient="0" direction="leftToRight">
              <x14:cfvo type="num">
                <xm:f>-100</xm:f>
              </x14:cfvo>
              <x14:cfvo type="num">
                <xm:f>200</xm:f>
              </x14:cfvo>
              <x14:negativeFillColor theme="5"/>
              <x14:axisColor theme="1"/>
            </x14:dataBar>
          </x14:cfRule>
          <xm:sqref>G321:G333</xm:sqref>
        </x14:conditionalFormatting>
        <x14:conditionalFormatting xmlns:xm="http://schemas.microsoft.com/office/excel/2006/main">
          <x14:cfRule type="dataBar" id="{C31323EC-168E-4987-8BDA-FC4E44FCAC6F}">
            <x14:dataBar minLength="0" maxLength="100" gradient="0" direction="leftToRight">
              <x14:cfvo type="num">
                <xm:f>-100</xm:f>
              </x14:cfvo>
              <x14:cfvo type="num">
                <xm:f>200</xm:f>
              </x14:cfvo>
              <x14:negativeFillColor theme="5"/>
              <x14:axisColor theme="1"/>
            </x14:dataBar>
          </x14:cfRule>
          <xm:sqref>G338:G342</xm:sqref>
        </x14:conditionalFormatting>
        <x14:conditionalFormatting xmlns:xm="http://schemas.microsoft.com/office/excel/2006/main">
          <x14:cfRule type="dataBar" id="{418A9240-5F96-4E19-ABEB-FA08D987ACF7}">
            <x14:dataBar minLength="0" maxLength="100" gradient="0" direction="leftToRight">
              <x14:cfvo type="num">
                <xm:f>-100</xm:f>
              </x14:cfvo>
              <x14:cfvo type="num">
                <xm:f>200</xm:f>
              </x14:cfvo>
              <x14:negativeFillColor theme="5"/>
              <x14:axisColor theme="1"/>
            </x14:dataBar>
          </x14:cfRule>
          <xm:sqref>G348:G368</xm:sqref>
        </x14:conditionalFormatting>
        <x14:conditionalFormatting xmlns:xm="http://schemas.microsoft.com/office/excel/2006/main">
          <x14:cfRule type="dataBar" id="{37A5BE74-DDD6-4040-B207-31353B453358}">
            <x14:dataBar minLength="0" maxLength="100" gradient="0" direction="leftToRight">
              <x14:cfvo type="num">
                <xm:f>-100</xm:f>
              </x14:cfvo>
              <x14:cfvo type="num">
                <xm:f>200</xm:f>
              </x14:cfvo>
              <x14:negativeFillColor theme="5"/>
              <x14:axisColor theme="1"/>
            </x14:dataBar>
          </x14:cfRule>
          <xm:sqref>G373:G392</xm:sqref>
        </x14:conditionalFormatting>
        <x14:conditionalFormatting xmlns:xm="http://schemas.microsoft.com/office/excel/2006/main">
          <x14:cfRule type="dataBar" id="{05EE4EF2-67BB-4EFB-B294-67B9FA004E49}">
            <x14:dataBar minLength="0" maxLength="100" gradient="0" direction="leftToRight">
              <x14:cfvo type="num">
                <xm:f>-100</xm:f>
              </x14:cfvo>
              <x14:cfvo type="num">
                <xm:f>200</xm:f>
              </x14:cfvo>
              <x14:negativeFillColor theme="5"/>
              <x14:axisColor theme="1"/>
            </x14:dataBar>
          </x14:cfRule>
          <xm:sqref>G403:G407</xm:sqref>
        </x14:conditionalFormatting>
        <x14:conditionalFormatting xmlns:xm="http://schemas.microsoft.com/office/excel/2006/main">
          <x14:cfRule type="dataBar" id="{5DD03060-B455-4C71-8A1C-4006E45145FD}">
            <x14:dataBar minLength="0" maxLength="100" gradient="0" direction="leftToRight">
              <x14:cfvo type="num">
                <xm:f>-100</xm:f>
              </x14:cfvo>
              <x14:cfvo type="num">
                <xm:f>200</xm:f>
              </x14:cfvo>
              <x14:negativeFillColor theme="5"/>
              <x14:axisColor theme="1"/>
            </x14:dataBar>
          </x14:cfRule>
          <xm:sqref>G414:G420</xm:sqref>
        </x14:conditionalFormatting>
        <x14:conditionalFormatting xmlns:xm="http://schemas.microsoft.com/office/excel/2006/main">
          <x14:cfRule type="dataBar" id="{88FAFEB7-1080-465A-AF4D-7BE4F2A1EB71}">
            <x14:dataBar minLength="0" maxLength="100" gradient="0" direction="leftToRight">
              <x14:cfvo type="num">
                <xm:f>-100</xm:f>
              </x14:cfvo>
              <x14:cfvo type="num">
                <xm:f>200</xm:f>
              </x14:cfvo>
              <x14:negativeFillColor theme="5"/>
              <x14:axisColor theme="1"/>
            </x14:dataBar>
          </x14:cfRule>
          <xm:sqref>G428:G435</xm:sqref>
        </x14:conditionalFormatting>
        <x14:conditionalFormatting xmlns:xm="http://schemas.microsoft.com/office/excel/2006/main">
          <x14:cfRule type="dataBar" id="{A3C87A8F-1EED-4B68-B696-9EE20B111C3A}">
            <x14:dataBar minLength="0" maxLength="100" gradient="0" direction="leftToRight">
              <x14:cfvo type="num">
                <xm:f>-100</xm:f>
              </x14:cfvo>
              <x14:cfvo type="num">
                <xm:f>200</xm:f>
              </x14:cfvo>
              <x14:negativeFillColor theme="5"/>
              <x14:axisColor theme="1"/>
            </x14:dataBar>
          </x14:cfRule>
          <xm:sqref>G441:G449</xm:sqref>
        </x14:conditionalFormatting>
        <x14:conditionalFormatting xmlns:xm="http://schemas.microsoft.com/office/excel/2006/main">
          <x14:cfRule type="dataBar" id="{2017002F-80C0-4E3F-9D6E-E221CC27AD9F}">
            <x14:dataBar minLength="0" maxLength="100" gradient="0" direction="leftToRight">
              <x14:cfvo type="num">
                <xm:f>-100</xm:f>
              </x14:cfvo>
              <x14:cfvo type="num">
                <xm:f>200</xm:f>
              </x14:cfvo>
              <x14:negativeFillColor theme="5"/>
              <x14:axisColor theme="1"/>
            </x14:dataBar>
          </x14:cfRule>
          <xm:sqref>G455:G463</xm:sqref>
        </x14:conditionalFormatting>
        <x14:conditionalFormatting xmlns:xm="http://schemas.microsoft.com/office/excel/2006/main">
          <x14:cfRule type="dataBar" id="{948472AB-20EA-4B68-BDAD-066371E0B4F5}">
            <x14:dataBar minLength="0" maxLength="100" gradient="0" direction="leftToRight">
              <x14:cfvo type="num">
                <xm:f>-100</xm:f>
              </x14:cfvo>
              <x14:cfvo type="num">
                <xm:f>200</xm:f>
              </x14:cfvo>
              <x14:negativeFillColor theme="5"/>
              <x14:axisColor theme="1"/>
            </x14:dataBar>
          </x14:cfRule>
          <xm:sqref>G468:G472</xm:sqref>
        </x14:conditionalFormatting>
        <x14:conditionalFormatting xmlns:xm="http://schemas.microsoft.com/office/excel/2006/main">
          <x14:cfRule type="dataBar" id="{6C2DEF9D-F769-474D-9EFA-9688BD178778}">
            <x14:dataBar minLength="0" maxLength="100" gradient="0" direction="leftToRight">
              <x14:cfvo type="num">
                <xm:f>-100</xm:f>
              </x14:cfvo>
              <x14:cfvo type="num">
                <xm:f>200</xm:f>
              </x14:cfvo>
              <x14:negativeFillColor theme="5"/>
              <x14:axisColor theme="1"/>
            </x14:dataBar>
          </x14:cfRule>
          <xm:sqref>G478:G500</xm:sqref>
        </x14:conditionalFormatting>
        <x14:conditionalFormatting xmlns:xm="http://schemas.microsoft.com/office/excel/2006/main">
          <x14:cfRule type="dataBar" id="{99848AAF-79A5-4105-8B8D-970F753CA732}">
            <x14:dataBar minLength="0" maxLength="100" gradient="0" direction="leftToRight">
              <x14:cfvo type="num">
                <xm:f>-100</xm:f>
              </x14:cfvo>
              <x14:cfvo type="num">
                <xm:f>200</xm:f>
              </x14:cfvo>
              <x14:negativeFillColor theme="5"/>
              <x14:axisColor theme="1"/>
            </x14:dataBar>
          </x14:cfRule>
          <xm:sqref>G506:G509</xm:sqref>
        </x14:conditionalFormatting>
        <x14:conditionalFormatting xmlns:xm="http://schemas.microsoft.com/office/excel/2006/main">
          <x14:cfRule type="dataBar" id="{2770BD30-BD63-4F78-ACBB-40FE4F8C3674}">
            <x14:dataBar minLength="0" maxLength="100" gradient="0" direction="leftToRight">
              <x14:cfvo type="num">
                <xm:f>-100</xm:f>
              </x14:cfvo>
              <x14:cfvo type="num">
                <xm:f>200</xm:f>
              </x14:cfvo>
              <x14:negativeFillColor theme="5"/>
              <x14:axisColor theme="1"/>
            </x14:dataBar>
          </x14:cfRule>
          <xm:sqref>G529:G530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81"/>
  <sheetViews>
    <sheetView showGridLines="0" zoomScaleNormal="100" workbookViewId="0"/>
  </sheetViews>
  <sheetFormatPr defaultColWidth="14.28515625" defaultRowHeight="15" x14ac:dyDescent="0.3"/>
  <cols>
    <col min="1" max="1" width="40.7109375" style="4" customWidth="1"/>
    <col min="2" max="3" width="17.7109375" style="5" customWidth="1"/>
    <col min="4" max="5" width="17.7109375" style="2" customWidth="1"/>
    <col min="6" max="7" width="14.7109375" style="2" customWidth="1"/>
    <col min="8" max="18" width="14.28515625" style="113"/>
    <col min="19" max="16384" width="14.28515625" style="2"/>
  </cols>
  <sheetData>
    <row r="1" spans="1:18" x14ac:dyDescent="0.3">
      <c r="A1" s="22" t="s">
        <v>872</v>
      </c>
    </row>
    <row r="4" spans="1:18" ht="15" customHeight="1" x14ac:dyDescent="0.3">
      <c r="A4" s="266" t="s">
        <v>616</v>
      </c>
      <c r="B4" s="266"/>
      <c r="C4" s="266"/>
      <c r="D4" s="266"/>
      <c r="E4" s="266"/>
      <c r="F4" s="266"/>
      <c r="G4" s="266"/>
    </row>
    <row r="5" spans="1:18" ht="15" customHeight="1" x14ac:dyDescent="0.3">
      <c r="A5" s="266"/>
      <c r="B5" s="266"/>
      <c r="C5" s="266"/>
      <c r="D5" s="266"/>
      <c r="E5" s="266"/>
      <c r="F5" s="266"/>
      <c r="G5" s="266"/>
    </row>
    <row r="6" spans="1:18" x14ac:dyDescent="0.3">
      <c r="A6" s="248" t="s">
        <v>873</v>
      </c>
      <c r="B6" s="249" t="s">
        <v>877</v>
      </c>
      <c r="C6" s="249"/>
      <c r="D6" s="244"/>
      <c r="E6" s="244"/>
      <c r="F6" s="244"/>
      <c r="G6" s="250"/>
      <c r="H6" s="2"/>
      <c r="I6" s="2"/>
      <c r="J6" s="2"/>
      <c r="K6" s="2"/>
      <c r="L6" s="2"/>
      <c r="M6" s="2"/>
      <c r="N6" s="2"/>
      <c r="O6" s="2"/>
      <c r="P6" s="2"/>
      <c r="Q6" s="2"/>
      <c r="R6" s="2"/>
    </row>
    <row r="7" spans="1:18" x14ac:dyDescent="0.3">
      <c r="A7" s="248" t="s">
        <v>625</v>
      </c>
      <c r="B7" s="249" t="s">
        <v>888</v>
      </c>
      <c r="C7" s="249"/>
      <c r="D7" s="244"/>
      <c r="E7" s="244"/>
      <c r="F7" s="244"/>
      <c r="G7" s="250"/>
      <c r="H7" s="2"/>
      <c r="I7" s="2"/>
      <c r="J7" s="2"/>
      <c r="K7" s="2"/>
      <c r="L7" s="2"/>
      <c r="M7" s="2"/>
      <c r="N7" s="2"/>
      <c r="O7" s="2"/>
      <c r="P7" s="2"/>
      <c r="Q7" s="2"/>
      <c r="R7" s="2"/>
    </row>
    <row r="8" spans="1:18" x14ac:dyDescent="0.3">
      <c r="A8" s="248" t="s">
        <v>626</v>
      </c>
      <c r="B8" s="249" t="s">
        <v>889</v>
      </c>
      <c r="C8" s="249"/>
      <c r="D8" s="244"/>
      <c r="E8" s="244"/>
      <c r="F8" s="244"/>
      <c r="G8" s="250"/>
      <c r="H8" s="2"/>
      <c r="I8" s="2"/>
      <c r="J8" s="2"/>
      <c r="K8" s="2"/>
      <c r="L8" s="2"/>
      <c r="M8" s="2"/>
      <c r="N8" s="2"/>
      <c r="O8" s="2"/>
      <c r="P8" s="2"/>
      <c r="Q8" s="2"/>
      <c r="R8" s="2"/>
    </row>
    <row r="9" spans="1:18" x14ac:dyDescent="0.3">
      <c r="A9" s="255"/>
      <c r="B9" s="256"/>
      <c r="C9" s="256"/>
      <c r="D9" s="245"/>
      <c r="E9" s="245"/>
      <c r="F9" s="245"/>
      <c r="G9" s="257"/>
      <c r="H9" s="2"/>
      <c r="I9" s="2"/>
      <c r="J9" s="2"/>
      <c r="K9" s="2"/>
      <c r="L9" s="2"/>
      <c r="M9" s="2"/>
      <c r="N9" s="2"/>
      <c r="O9" s="2"/>
      <c r="P9" s="2"/>
      <c r="Q9" s="2"/>
      <c r="R9" s="2"/>
    </row>
    <row r="10" spans="1:18" ht="48.75" customHeight="1" x14ac:dyDescent="0.3">
      <c r="A10" s="287" t="s">
        <v>887</v>
      </c>
      <c r="B10" s="288"/>
      <c r="C10" s="288"/>
      <c r="D10" s="288"/>
      <c r="E10" s="288"/>
      <c r="F10" s="288"/>
      <c r="G10" s="289"/>
    </row>
    <row r="11" spans="1:18" s="7" customFormat="1" ht="15" customHeight="1" x14ac:dyDescent="0.3">
      <c r="H11" s="120"/>
      <c r="I11" s="120"/>
      <c r="J11" s="120"/>
      <c r="K11" s="120"/>
      <c r="L11" s="120"/>
      <c r="M11" s="120"/>
      <c r="N11" s="120"/>
      <c r="O11" s="120"/>
      <c r="P11" s="120"/>
      <c r="Q11" s="120"/>
      <c r="R11" s="120"/>
    </row>
    <row r="12" spans="1:18" s="8" customFormat="1" ht="15" customHeight="1" x14ac:dyDescent="0.3">
      <c r="A12" s="290" t="s">
        <v>611</v>
      </c>
      <c r="B12" s="290">
        <v>3.6836000000000002</v>
      </c>
      <c r="C12" s="290"/>
      <c r="D12" s="290">
        <v>3.4474999999999998</v>
      </c>
      <c r="E12" s="290"/>
      <c r="F12" s="290">
        <v>106.848</v>
      </c>
      <c r="H12" s="114"/>
      <c r="I12" s="114"/>
      <c r="J12" s="114"/>
      <c r="K12" s="114"/>
      <c r="L12" s="114"/>
      <c r="M12" s="114"/>
      <c r="N12" s="114"/>
      <c r="O12" s="114"/>
      <c r="P12" s="114"/>
      <c r="Q12" s="114"/>
      <c r="R12" s="114"/>
    </row>
    <row r="13" spans="1:18" s="8" customFormat="1" ht="15" customHeight="1" x14ac:dyDescent="0.3">
      <c r="A13" s="9" t="s">
        <v>135</v>
      </c>
      <c r="B13" s="9"/>
      <c r="C13" s="9"/>
      <c r="D13" s="9"/>
      <c r="E13" s="9"/>
      <c r="F13" s="9"/>
      <c r="H13" s="114"/>
      <c r="I13" s="114"/>
      <c r="J13" s="114"/>
      <c r="K13" s="114"/>
      <c r="L13" s="114"/>
      <c r="M13" s="114"/>
      <c r="N13" s="114"/>
      <c r="O13" s="114"/>
      <c r="P13" s="114"/>
      <c r="Q13" s="114"/>
      <c r="R13" s="114"/>
    </row>
    <row r="14" spans="1:18" ht="39.950000000000003" customHeight="1" x14ac:dyDescent="0.3">
      <c r="A14" s="254" t="s">
        <v>78</v>
      </c>
      <c r="B14" s="230" t="s">
        <v>888</v>
      </c>
      <c r="C14" s="246" t="s">
        <v>888</v>
      </c>
      <c r="D14" s="230" t="s">
        <v>889</v>
      </c>
      <c r="E14" s="231" t="s">
        <v>889</v>
      </c>
      <c r="F14" s="238" t="s">
        <v>1</v>
      </c>
      <c r="G14" s="239" t="s">
        <v>1</v>
      </c>
    </row>
    <row r="15" spans="1:18" ht="16.5" x14ac:dyDescent="0.3">
      <c r="A15" s="242" t="s">
        <v>871</v>
      </c>
      <c r="B15" s="37" t="s">
        <v>74</v>
      </c>
      <c r="C15" s="38" t="s">
        <v>75</v>
      </c>
      <c r="D15" s="36" t="s">
        <v>74</v>
      </c>
      <c r="E15" s="38" t="s">
        <v>75</v>
      </c>
      <c r="F15" s="240" t="s">
        <v>869</v>
      </c>
      <c r="G15" s="241" t="s">
        <v>870</v>
      </c>
      <c r="I15" s="119"/>
    </row>
    <row r="16" spans="1:18" x14ac:dyDescent="0.3">
      <c r="A16" s="41" t="s">
        <v>79</v>
      </c>
      <c r="B16" s="34">
        <v>129424</v>
      </c>
      <c r="C16" s="29">
        <v>0.41610349860788715</v>
      </c>
      <c r="D16" s="28">
        <v>470819</v>
      </c>
      <c r="E16" s="29">
        <v>0.35711257163011367</v>
      </c>
      <c r="F16" s="51">
        <v>116.51886034381182</v>
      </c>
      <c r="G16" s="47">
        <v>16.518860343811824</v>
      </c>
    </row>
    <row r="17" spans="1:9" x14ac:dyDescent="0.3">
      <c r="A17" s="41" t="s">
        <v>80</v>
      </c>
      <c r="B17" s="35">
        <v>7519</v>
      </c>
      <c r="C17" s="31">
        <v>2.4173895151074789E-2</v>
      </c>
      <c r="D17" s="30">
        <v>25331</v>
      </c>
      <c r="E17" s="31">
        <v>1.9213367667750045E-2</v>
      </c>
      <c r="F17" s="51">
        <v>125.81810523332186</v>
      </c>
      <c r="G17" s="47">
        <v>25.818105233321859</v>
      </c>
    </row>
    <row r="18" spans="1:9" x14ac:dyDescent="0.3">
      <c r="A18" s="41" t="s">
        <v>81</v>
      </c>
      <c r="B18" s="35">
        <v>61632</v>
      </c>
      <c r="C18" s="31">
        <v>0.19814942225708757</v>
      </c>
      <c r="D18" s="30">
        <v>218635</v>
      </c>
      <c r="E18" s="31">
        <v>0.16583295724758326</v>
      </c>
      <c r="F18" s="51">
        <v>119.48735977810301</v>
      </c>
      <c r="G18" s="47">
        <v>19.487359778103013</v>
      </c>
    </row>
    <row r="19" spans="1:9" x14ac:dyDescent="0.3">
      <c r="A19" s="41" t="s">
        <v>82</v>
      </c>
      <c r="B19" s="35">
        <v>74363</v>
      </c>
      <c r="C19" s="31">
        <v>0.23908011239784208</v>
      </c>
      <c r="D19" s="30">
        <v>259602</v>
      </c>
      <c r="E19" s="31">
        <v>0.19690611003447347</v>
      </c>
      <c r="F19" s="51">
        <v>121.41833097814229</v>
      </c>
      <c r="G19" s="47">
        <v>21.418330978142293</v>
      </c>
    </row>
    <row r="20" spans="1:9" x14ac:dyDescent="0.3">
      <c r="A20" s="41" t="s">
        <v>83</v>
      </c>
      <c r="B20" s="34">
        <v>110413</v>
      </c>
      <c r="C20" s="29">
        <v>0.35498234942354312</v>
      </c>
      <c r="D20" s="28">
        <v>400275</v>
      </c>
      <c r="E20" s="29">
        <v>0.30360549300101258</v>
      </c>
      <c r="F20" s="51">
        <v>116.92224205652273</v>
      </c>
      <c r="G20" s="47">
        <v>16.922242056522734</v>
      </c>
    </row>
    <row r="21" spans="1:9" x14ac:dyDescent="0.3">
      <c r="A21" s="41" t="s">
        <v>84</v>
      </c>
      <c r="B21" s="35">
        <v>52619</v>
      </c>
      <c r="C21" s="31">
        <v>0.16917225548003781</v>
      </c>
      <c r="D21" s="30">
        <v>168606</v>
      </c>
      <c r="E21" s="31">
        <v>0.12788634751840292</v>
      </c>
      <c r="F21" s="51">
        <v>132.28328024279043</v>
      </c>
      <c r="G21" s="47">
        <v>32.283280242790426</v>
      </c>
    </row>
    <row r="22" spans="1:9" x14ac:dyDescent="0.3">
      <c r="A22" s="41" t="s">
        <v>85</v>
      </c>
      <c r="B22" s="35">
        <v>56903</v>
      </c>
      <c r="C22" s="31">
        <v>0.1829454921906648</v>
      </c>
      <c r="D22" s="30">
        <v>186430</v>
      </c>
      <c r="E22" s="31">
        <v>0.14140571372226288</v>
      </c>
      <c r="F22" s="51">
        <v>129.37630833644448</v>
      </c>
      <c r="G22" s="47">
        <v>29.376308336444481</v>
      </c>
    </row>
    <row r="23" spans="1:9" x14ac:dyDescent="0.3">
      <c r="A23" s="41" t="s">
        <v>415</v>
      </c>
      <c r="B23" s="35">
        <v>127588</v>
      </c>
      <c r="C23" s="31">
        <v>0.4102006828747613</v>
      </c>
      <c r="D23" s="30">
        <v>498195</v>
      </c>
      <c r="E23" s="31">
        <v>0.37787705598810684</v>
      </c>
      <c r="F23" s="51">
        <v>108.55400622356701</v>
      </c>
      <c r="G23" s="47">
        <v>8.5540062235670149</v>
      </c>
    </row>
    <row r="24" spans="1:9" x14ac:dyDescent="0.3">
      <c r="A24" s="41" t="s">
        <v>86</v>
      </c>
      <c r="B24" s="35">
        <v>58867</v>
      </c>
      <c r="C24" s="31">
        <v>0.18925983320365999</v>
      </c>
      <c r="D24" s="30">
        <v>203392</v>
      </c>
      <c r="E24" s="31">
        <v>0.15427125959018662</v>
      </c>
      <c r="F24" s="51">
        <v>122.67990402516882</v>
      </c>
      <c r="G24" s="47">
        <v>22.679904025168824</v>
      </c>
    </row>
    <row r="25" spans="1:9" x14ac:dyDescent="0.3">
      <c r="A25" s="41" t="s">
        <v>87</v>
      </c>
      <c r="B25" s="34">
        <v>125851</v>
      </c>
      <c r="C25" s="29">
        <v>0.40461615622528435</v>
      </c>
      <c r="D25" s="28">
        <v>488582</v>
      </c>
      <c r="E25" s="29">
        <v>0.37058566980556051</v>
      </c>
      <c r="F25" s="51">
        <v>109.18289323966009</v>
      </c>
      <c r="G25" s="47">
        <v>9.1828932396600891</v>
      </c>
    </row>
    <row r="26" spans="1:9" x14ac:dyDescent="0.3">
      <c r="A26" s="41" t="s">
        <v>88</v>
      </c>
      <c r="B26" s="35">
        <v>148739</v>
      </c>
      <c r="C26" s="31">
        <v>0.47820202033192089</v>
      </c>
      <c r="D26" s="30">
        <v>569050</v>
      </c>
      <c r="E26" s="31">
        <v>0.43162002571288793</v>
      </c>
      <c r="F26" s="51">
        <v>110.79236176358951</v>
      </c>
      <c r="G26" s="47">
        <v>10.792361763589511</v>
      </c>
    </row>
    <row r="27" spans="1:9" x14ac:dyDescent="0.3">
      <c r="A27" s="41" t="s">
        <v>89</v>
      </c>
      <c r="B27" s="35">
        <v>156561</v>
      </c>
      <c r="C27" s="31">
        <v>0.5033500729814363</v>
      </c>
      <c r="D27" s="30">
        <v>625933</v>
      </c>
      <c r="E27" s="31">
        <v>0.47476534145425725</v>
      </c>
      <c r="F27" s="51">
        <v>106.02081260599626</v>
      </c>
      <c r="G27" s="47">
        <v>6.0208126059962552</v>
      </c>
      <c r="I27" s="131"/>
    </row>
    <row r="28" spans="1:9" ht="16.5" x14ac:dyDescent="0.3">
      <c r="A28" s="42" t="s">
        <v>90</v>
      </c>
      <c r="B28" s="35">
        <v>13298</v>
      </c>
      <c r="C28" s="31">
        <v>4.2753618528925723E-2</v>
      </c>
      <c r="D28" s="30">
        <v>43590</v>
      </c>
      <c r="E28" s="31">
        <v>3.3062678008654395E-2</v>
      </c>
      <c r="F28" s="51">
        <v>129.31081540864494</v>
      </c>
      <c r="G28" s="47">
        <v>29.310815408644942</v>
      </c>
      <c r="I28" s="121"/>
    </row>
    <row r="29" spans="1:9" ht="16.5" x14ac:dyDescent="0.3">
      <c r="A29" s="64" t="s">
        <v>395</v>
      </c>
      <c r="B29" s="229">
        <v>311038</v>
      </c>
      <c r="C29" s="228"/>
      <c r="D29" s="227">
        <v>1318405</v>
      </c>
      <c r="E29" s="228"/>
      <c r="F29" s="60"/>
      <c r="G29" s="48"/>
      <c r="I29" s="121"/>
    </row>
    <row r="31" spans="1:9" ht="15" customHeight="1" x14ac:dyDescent="0.3">
      <c r="A31" s="11" t="s">
        <v>566</v>
      </c>
      <c r="B31" s="9"/>
      <c r="C31" s="9"/>
      <c r="D31" s="9"/>
      <c r="E31" s="9"/>
      <c r="F31" s="9"/>
    </row>
    <row r="32" spans="1:9" ht="39.950000000000003" customHeight="1" x14ac:dyDescent="0.3">
      <c r="A32" s="254" t="s">
        <v>91</v>
      </c>
      <c r="B32" s="230" t="s">
        <v>888</v>
      </c>
      <c r="C32" s="246" t="s">
        <v>888</v>
      </c>
      <c r="D32" s="230" t="s">
        <v>889</v>
      </c>
      <c r="E32" s="231" t="s">
        <v>889</v>
      </c>
      <c r="F32" s="238" t="s">
        <v>1</v>
      </c>
      <c r="G32" s="239" t="s">
        <v>1</v>
      </c>
      <c r="I32" s="121"/>
    </row>
    <row r="33" spans="1:18" ht="16.5" x14ac:dyDescent="0.3">
      <c r="A33" s="242" t="s">
        <v>871</v>
      </c>
      <c r="B33" s="37" t="s">
        <v>74</v>
      </c>
      <c r="C33" s="38" t="s">
        <v>75</v>
      </c>
      <c r="D33" s="36" t="s">
        <v>74</v>
      </c>
      <c r="E33" s="38" t="s">
        <v>75</v>
      </c>
      <c r="F33" s="240" t="s">
        <v>869</v>
      </c>
      <c r="G33" s="241" t="s">
        <v>870</v>
      </c>
      <c r="H33" s="118"/>
      <c r="I33" s="121"/>
    </row>
    <row r="34" spans="1:18" ht="16.5" x14ac:dyDescent="0.3">
      <c r="A34" s="122" t="s">
        <v>409</v>
      </c>
      <c r="B34" s="123">
        <v>46139</v>
      </c>
      <c r="C34" s="152">
        <v>0.14833878818665244</v>
      </c>
      <c r="D34" s="28">
        <v>153584</v>
      </c>
      <c r="E34" s="152">
        <v>0.11649227665247022</v>
      </c>
      <c r="F34" s="51">
        <v>127.33787376238639</v>
      </c>
      <c r="G34" s="47">
        <v>27.337873762386394</v>
      </c>
      <c r="H34" s="118"/>
      <c r="I34" s="121"/>
    </row>
    <row r="35" spans="1:18" ht="16.5" x14ac:dyDescent="0.3">
      <c r="A35" s="41" t="s">
        <v>407</v>
      </c>
      <c r="B35" s="123">
        <v>24499</v>
      </c>
      <c r="C35" s="152">
        <v>7.8765295558742024E-2</v>
      </c>
      <c r="D35" s="28">
        <v>85322</v>
      </c>
      <c r="E35" s="152">
        <v>6.4716077381381285E-2</v>
      </c>
      <c r="F35" s="51">
        <v>121.70900763123613</v>
      </c>
      <c r="G35" s="47">
        <v>21.709007631236133</v>
      </c>
      <c r="H35" s="118"/>
      <c r="I35" s="121"/>
    </row>
    <row r="36" spans="1:18" ht="16.5" x14ac:dyDescent="0.3">
      <c r="A36" s="122" t="s">
        <v>412</v>
      </c>
      <c r="B36" s="123">
        <v>46256</v>
      </c>
      <c r="C36" s="152">
        <v>0.14871494801278301</v>
      </c>
      <c r="D36" s="28">
        <v>162595</v>
      </c>
      <c r="E36" s="152">
        <v>0.12332705048903789</v>
      </c>
      <c r="F36" s="51">
        <v>120.58583045898901</v>
      </c>
      <c r="G36" s="47">
        <v>20.585830458989008</v>
      </c>
      <c r="H36" s="118"/>
      <c r="I36" s="121"/>
    </row>
    <row r="37" spans="1:18" ht="16.5" x14ac:dyDescent="0.3">
      <c r="A37" s="41" t="s">
        <v>408</v>
      </c>
      <c r="B37" s="35">
        <v>52906</v>
      </c>
      <c r="C37" s="31">
        <v>0.17009497231849485</v>
      </c>
      <c r="D37" s="28">
        <v>188666</v>
      </c>
      <c r="E37" s="31">
        <v>0.14310170243589793</v>
      </c>
      <c r="F37" s="51">
        <v>118.86299703156118</v>
      </c>
      <c r="G37" s="47">
        <v>18.862997031561179</v>
      </c>
      <c r="H37" s="118"/>
      <c r="I37" s="121"/>
    </row>
    <row r="38" spans="1:18" ht="16.5" x14ac:dyDescent="0.3">
      <c r="A38" s="122" t="s">
        <v>410</v>
      </c>
      <c r="B38" s="123">
        <v>30064</v>
      </c>
      <c r="C38" s="152">
        <v>9.66570001093114E-2</v>
      </c>
      <c r="D38" s="28">
        <v>130345</v>
      </c>
      <c r="E38" s="152">
        <v>9.8865674811609489E-2</v>
      </c>
      <c r="F38" s="51">
        <v>97.765984294845737</v>
      </c>
      <c r="G38" s="47">
        <v>-2.2340157051542633</v>
      </c>
      <c r="H38" s="118"/>
      <c r="I38" s="121"/>
    </row>
    <row r="39" spans="1:18" ht="16.5" x14ac:dyDescent="0.3">
      <c r="A39" s="122" t="s">
        <v>411</v>
      </c>
      <c r="B39" s="123">
        <v>13130</v>
      </c>
      <c r="C39" s="152">
        <v>4.2213491599097215E-2</v>
      </c>
      <c r="D39" s="28">
        <v>51107</v>
      </c>
      <c r="E39" s="152">
        <v>3.876426439523515E-2</v>
      </c>
      <c r="F39" s="51">
        <v>108.89795603676163</v>
      </c>
      <c r="G39" s="47">
        <v>8.8979560367616273</v>
      </c>
      <c r="H39" s="118"/>
      <c r="I39" s="121"/>
    </row>
    <row r="40" spans="1:18" ht="16.5" x14ac:dyDescent="0.3">
      <c r="A40" s="122" t="s">
        <v>413</v>
      </c>
      <c r="B40" s="123">
        <v>31790</v>
      </c>
      <c r="C40" s="152">
        <v>0.10220616130504954</v>
      </c>
      <c r="D40" s="28">
        <v>116822</v>
      </c>
      <c r="E40" s="152">
        <v>8.8608583857009038E-2</v>
      </c>
      <c r="F40" s="51">
        <v>115.34566613769996</v>
      </c>
      <c r="G40" s="47">
        <v>15.345666137699965</v>
      </c>
      <c r="H40" s="118"/>
      <c r="I40" s="121"/>
    </row>
    <row r="41" spans="1:18" ht="16.5" x14ac:dyDescent="0.3">
      <c r="A41" s="122" t="s">
        <v>414</v>
      </c>
      <c r="B41" s="123">
        <v>31450</v>
      </c>
      <c r="C41" s="152">
        <v>0.10111304728039661</v>
      </c>
      <c r="D41" s="28">
        <v>118314</v>
      </c>
      <c r="E41" s="152">
        <v>8.9740254322457816E-2</v>
      </c>
      <c r="F41" s="51">
        <v>112.67301173125016</v>
      </c>
      <c r="G41" s="47">
        <v>12.673011731250156</v>
      </c>
      <c r="H41" s="118"/>
      <c r="I41" s="121"/>
    </row>
    <row r="42" spans="1:18" ht="16.5" x14ac:dyDescent="0.3">
      <c r="A42" s="64" t="s">
        <v>395</v>
      </c>
      <c r="B42" s="229">
        <v>311038</v>
      </c>
      <c r="C42" s="228"/>
      <c r="D42" s="227">
        <v>1318405</v>
      </c>
      <c r="E42" s="228"/>
      <c r="F42" s="60"/>
      <c r="G42" s="48"/>
      <c r="H42" s="118"/>
      <c r="I42" s="121"/>
    </row>
    <row r="43" spans="1:18" s="7" customFormat="1" ht="15" customHeight="1" x14ac:dyDescent="0.3">
      <c r="A43" s="6"/>
      <c r="B43" s="6"/>
      <c r="C43" s="6"/>
      <c r="D43" s="6"/>
      <c r="E43" s="6"/>
      <c r="F43" s="6"/>
      <c r="H43" s="118"/>
      <c r="I43" s="121"/>
      <c r="J43" s="120"/>
      <c r="K43" s="120"/>
      <c r="L43" s="120"/>
      <c r="M43" s="120"/>
      <c r="N43" s="120"/>
      <c r="O43" s="120"/>
      <c r="P43" s="120"/>
      <c r="Q43" s="120"/>
      <c r="R43" s="120"/>
    </row>
    <row r="44" spans="1:18" ht="15" customHeight="1" x14ac:dyDescent="0.3">
      <c r="A44" s="11" t="s">
        <v>92</v>
      </c>
      <c r="B44" s="9"/>
      <c r="C44" s="9"/>
      <c r="D44" s="9"/>
      <c r="E44" s="9"/>
      <c r="F44" s="9"/>
      <c r="H44" s="118"/>
      <c r="I44" s="121"/>
    </row>
    <row r="45" spans="1:18" ht="39.950000000000003" customHeight="1" x14ac:dyDescent="0.3">
      <c r="A45" s="254" t="s">
        <v>92</v>
      </c>
      <c r="B45" s="230" t="s">
        <v>888</v>
      </c>
      <c r="C45" s="246" t="s">
        <v>888</v>
      </c>
      <c r="D45" s="230" t="s">
        <v>889</v>
      </c>
      <c r="E45" s="231" t="s">
        <v>889</v>
      </c>
      <c r="F45" s="238" t="s">
        <v>1</v>
      </c>
      <c r="G45" s="239" t="s">
        <v>1</v>
      </c>
    </row>
    <row r="46" spans="1:18" x14ac:dyDescent="0.3">
      <c r="A46" s="242" t="s">
        <v>871</v>
      </c>
      <c r="B46" s="37" t="s">
        <v>74</v>
      </c>
      <c r="C46" s="38" t="s">
        <v>75</v>
      </c>
      <c r="D46" s="36" t="s">
        <v>74</v>
      </c>
      <c r="E46" s="38" t="s">
        <v>75</v>
      </c>
      <c r="F46" s="240" t="s">
        <v>869</v>
      </c>
      <c r="G46" s="241" t="s">
        <v>870</v>
      </c>
    </row>
    <row r="47" spans="1:18" x14ac:dyDescent="0.3">
      <c r="A47" s="41" t="s">
        <v>93</v>
      </c>
      <c r="B47" s="34">
        <v>241634</v>
      </c>
      <c r="C47" s="29">
        <v>0.77686327715584591</v>
      </c>
      <c r="D47" s="28">
        <v>976602</v>
      </c>
      <c r="E47" s="29">
        <v>0.74074506695590503</v>
      </c>
      <c r="F47" s="51">
        <v>104.87592989965748</v>
      </c>
      <c r="G47" s="47">
        <v>4.8759298996574785</v>
      </c>
    </row>
    <row r="48" spans="1:18" x14ac:dyDescent="0.3">
      <c r="A48" s="41" t="s">
        <v>94</v>
      </c>
      <c r="B48" s="68">
        <v>42703</v>
      </c>
      <c r="C48" s="31">
        <v>0.13729190645515982</v>
      </c>
      <c r="D48" s="30">
        <v>156232</v>
      </c>
      <c r="E48" s="31">
        <v>0.11850076418096109</v>
      </c>
      <c r="F48" s="51">
        <v>115.85740176789325</v>
      </c>
      <c r="G48" s="47">
        <v>15.857401767893251</v>
      </c>
    </row>
    <row r="49" spans="1:7" x14ac:dyDescent="0.3">
      <c r="A49" s="41" t="s">
        <v>95</v>
      </c>
      <c r="B49" s="68">
        <v>41316</v>
      </c>
      <c r="C49" s="31">
        <v>0.13283264424282565</v>
      </c>
      <c r="D49" s="30">
        <v>146927</v>
      </c>
      <c r="E49" s="31">
        <v>0.11144299361728756</v>
      </c>
      <c r="F49" s="51">
        <v>119.19335611083228</v>
      </c>
      <c r="G49" s="47">
        <v>19.193356110832283</v>
      </c>
    </row>
    <row r="50" spans="1:7" x14ac:dyDescent="0.3">
      <c r="A50" s="42" t="s">
        <v>96</v>
      </c>
      <c r="B50" s="34">
        <v>69403</v>
      </c>
      <c r="C50" s="33">
        <v>0.22313350780290511</v>
      </c>
      <c r="D50" s="32">
        <v>341803</v>
      </c>
      <c r="E50" s="33">
        <v>0.25925493304409497</v>
      </c>
      <c r="F50" s="51">
        <v>86.067217770145106</v>
      </c>
      <c r="G50" s="47">
        <v>-13.932782229854894</v>
      </c>
    </row>
    <row r="51" spans="1:7" x14ac:dyDescent="0.3">
      <c r="A51" s="64" t="s">
        <v>395</v>
      </c>
      <c r="B51" s="229">
        <v>311038</v>
      </c>
      <c r="C51" s="228"/>
      <c r="D51" s="227">
        <v>1318405</v>
      </c>
      <c r="E51" s="228"/>
      <c r="F51" s="60"/>
      <c r="G51" s="48"/>
    </row>
    <row r="52" spans="1:7" x14ac:dyDescent="0.3">
      <c r="A52" s="61"/>
      <c r="B52" s="62"/>
      <c r="C52" s="62"/>
      <c r="D52" s="62"/>
      <c r="E52" s="62"/>
      <c r="F52" s="63"/>
      <c r="G52" s="63"/>
    </row>
    <row r="53" spans="1:7" x14ac:dyDescent="0.3">
      <c r="A53" s="11" t="s">
        <v>533</v>
      </c>
      <c r="B53" s="9"/>
      <c r="C53" s="9"/>
      <c r="D53" s="9"/>
      <c r="E53" s="9"/>
      <c r="F53" s="9"/>
    </row>
    <row r="54" spans="1:7" ht="39.950000000000003" customHeight="1" x14ac:dyDescent="0.3">
      <c r="A54" s="254" t="s">
        <v>534</v>
      </c>
      <c r="B54" s="230" t="s">
        <v>888</v>
      </c>
      <c r="C54" s="246" t="s">
        <v>888</v>
      </c>
      <c r="D54" s="230" t="s">
        <v>889</v>
      </c>
      <c r="E54" s="231" t="s">
        <v>889</v>
      </c>
      <c r="F54" s="238" t="s">
        <v>1</v>
      </c>
      <c r="G54" s="239" t="s">
        <v>1</v>
      </c>
    </row>
    <row r="55" spans="1:7" x14ac:dyDescent="0.3">
      <c r="A55" s="242" t="s">
        <v>871</v>
      </c>
      <c r="B55" s="37" t="s">
        <v>74</v>
      </c>
      <c r="C55" s="38" t="s">
        <v>75</v>
      </c>
      <c r="D55" s="36" t="s">
        <v>74</v>
      </c>
      <c r="E55" s="38" t="s">
        <v>75</v>
      </c>
      <c r="F55" s="240" t="s">
        <v>869</v>
      </c>
      <c r="G55" s="241" t="s">
        <v>870</v>
      </c>
    </row>
    <row r="56" spans="1:7" x14ac:dyDescent="0.3">
      <c r="A56" s="41" t="s">
        <v>535</v>
      </c>
      <c r="B56" s="34">
        <v>41924</v>
      </c>
      <c r="C56" s="29">
        <v>0.13478738932220499</v>
      </c>
      <c r="D56" s="28">
        <v>156221</v>
      </c>
      <c r="E56" s="29">
        <v>0.11849242076600135</v>
      </c>
      <c r="F56" s="51">
        <v>113.7519078864824</v>
      </c>
      <c r="G56" s="47">
        <v>13.7519078864824</v>
      </c>
    </row>
    <row r="57" spans="1:7" x14ac:dyDescent="0.3">
      <c r="A57" s="41" t="s">
        <v>536</v>
      </c>
      <c r="B57" s="68">
        <v>32053</v>
      </c>
      <c r="C57" s="31">
        <v>0.10305171715353108</v>
      </c>
      <c r="D57" s="30">
        <v>116310</v>
      </c>
      <c r="E57" s="31">
        <v>8.8220235815246448E-2</v>
      </c>
      <c r="F57" s="51">
        <v>116.81188131184004</v>
      </c>
      <c r="G57" s="47">
        <v>16.81188131184004</v>
      </c>
    </row>
    <row r="58" spans="1:7" x14ac:dyDescent="0.3">
      <c r="A58" s="41" t="s">
        <v>537</v>
      </c>
      <c r="B58" s="68">
        <v>201068</v>
      </c>
      <c r="C58" s="31">
        <v>0.64644191384975469</v>
      </c>
      <c r="D58" s="30">
        <v>867465</v>
      </c>
      <c r="E58" s="31">
        <v>0.6579654961866801</v>
      </c>
      <c r="F58" s="51">
        <v>98.248603854805197</v>
      </c>
      <c r="G58" s="47">
        <v>-1.7513961451948035</v>
      </c>
    </row>
    <row r="59" spans="1:7" x14ac:dyDescent="0.3">
      <c r="A59" s="41" t="s">
        <v>538</v>
      </c>
      <c r="B59" s="68">
        <v>14559</v>
      </c>
      <c r="C59" s="31">
        <v>4.6807785543888529E-2</v>
      </c>
      <c r="D59" s="30">
        <v>54119</v>
      </c>
      <c r="E59" s="31">
        <v>4.1048843109666604E-2</v>
      </c>
      <c r="F59" s="51">
        <v>114.02948779539599</v>
      </c>
      <c r="G59" s="47">
        <v>14.029487795395994</v>
      </c>
    </row>
    <row r="60" spans="1:7" x14ac:dyDescent="0.3">
      <c r="A60" s="41" t="s">
        <v>539</v>
      </c>
      <c r="B60" s="68">
        <v>74017</v>
      </c>
      <c r="C60" s="31">
        <v>0.23796770812569526</v>
      </c>
      <c r="D60" s="30">
        <v>345177</v>
      </c>
      <c r="E60" s="31">
        <v>0.26181408595992883</v>
      </c>
      <c r="F60" s="51">
        <v>90.891865979325758</v>
      </c>
      <c r="G60" s="47">
        <v>-9.1081340206742425</v>
      </c>
    </row>
    <row r="61" spans="1:7" x14ac:dyDescent="0.3">
      <c r="A61" s="41" t="s">
        <v>540</v>
      </c>
      <c r="B61" s="68">
        <v>79348</v>
      </c>
      <c r="C61" s="31">
        <v>0.25510709302400347</v>
      </c>
      <c r="D61" s="30">
        <v>311791</v>
      </c>
      <c r="E61" s="31">
        <v>0.23649106306483972</v>
      </c>
      <c r="F61" s="51">
        <v>107.87176890234524</v>
      </c>
      <c r="G61" s="47">
        <v>7.871768902345238</v>
      </c>
    </row>
    <row r="62" spans="1:7" x14ac:dyDescent="0.3">
      <c r="A62" s="41" t="s">
        <v>612</v>
      </c>
      <c r="B62" s="68">
        <v>6175</v>
      </c>
      <c r="C62" s="31">
        <v>1.985287971244671E-2</v>
      </c>
      <c r="D62" s="30">
        <v>24800</v>
      </c>
      <c r="E62" s="31">
        <v>1.881060827287518E-2</v>
      </c>
      <c r="F62" s="51">
        <v>105.5408704729367</v>
      </c>
      <c r="G62" s="47">
        <v>5.5408704729367031</v>
      </c>
    </row>
    <row r="63" spans="1:7" x14ac:dyDescent="0.3">
      <c r="A63" s="41" t="s">
        <v>541</v>
      </c>
      <c r="B63" s="68">
        <v>7246</v>
      </c>
      <c r="C63" s="31">
        <v>2.3296188890103459E-2</v>
      </c>
      <c r="D63" s="30">
        <v>25825</v>
      </c>
      <c r="E63" s="31">
        <v>1.9588062848669416E-2</v>
      </c>
      <c r="F63" s="51">
        <v>118.93053983991035</v>
      </c>
      <c r="G63" s="47">
        <v>18.930539839910352</v>
      </c>
    </row>
    <row r="64" spans="1:7" x14ac:dyDescent="0.3">
      <c r="A64" s="41" t="s">
        <v>542</v>
      </c>
      <c r="B64" s="68">
        <v>40654</v>
      </c>
      <c r="C64" s="31">
        <v>0.13070428693600139</v>
      </c>
      <c r="D64" s="30">
        <v>142976</v>
      </c>
      <c r="E64" s="31">
        <v>0.10844619066220168</v>
      </c>
      <c r="F64" s="51">
        <v>120.5245533641023</v>
      </c>
      <c r="G64" s="47">
        <v>20.524553364102303</v>
      </c>
    </row>
    <row r="65" spans="1:7" x14ac:dyDescent="0.3">
      <c r="A65" s="41" t="s">
        <v>543</v>
      </c>
      <c r="B65" s="68">
        <v>43509</v>
      </c>
      <c r="C65" s="31">
        <v>0.13988322970183709</v>
      </c>
      <c r="D65" s="30">
        <v>181185</v>
      </c>
      <c r="E65" s="31">
        <v>0.13742742177100359</v>
      </c>
      <c r="F65" s="51">
        <v>101.78698537685268</v>
      </c>
      <c r="G65" s="47">
        <v>1.7869853768526838</v>
      </c>
    </row>
    <row r="66" spans="1:7" x14ac:dyDescent="0.3">
      <c r="A66" s="41" t="s">
        <v>544</v>
      </c>
      <c r="B66" s="68">
        <v>84574</v>
      </c>
      <c r="C66" s="31">
        <v>0.2719088985911689</v>
      </c>
      <c r="D66" s="30">
        <v>335676</v>
      </c>
      <c r="E66" s="31">
        <v>0.2546076509115181</v>
      </c>
      <c r="F66" s="51">
        <v>106.79525835838429</v>
      </c>
      <c r="G66" s="47">
        <v>6.795258358384288</v>
      </c>
    </row>
    <row r="67" spans="1:7" x14ac:dyDescent="0.3">
      <c r="A67" s="41" t="s">
        <v>545</v>
      </c>
      <c r="B67" s="68">
        <v>238940</v>
      </c>
      <c r="C67" s="31">
        <v>0.76820195603109587</v>
      </c>
      <c r="D67" s="30">
        <v>1022638</v>
      </c>
      <c r="E67" s="31">
        <v>0.77566301705469864</v>
      </c>
      <c r="F67" s="51">
        <v>99.038105355089186</v>
      </c>
      <c r="G67" s="47">
        <v>-0.96189464491081367</v>
      </c>
    </row>
    <row r="68" spans="1:7" x14ac:dyDescent="0.3">
      <c r="A68" s="41" t="s">
        <v>546</v>
      </c>
      <c r="B68" s="68">
        <v>133719</v>
      </c>
      <c r="C68" s="31">
        <v>0.42991210077225289</v>
      </c>
      <c r="D68" s="30">
        <v>603746</v>
      </c>
      <c r="E68" s="31">
        <v>0.45793667348045553</v>
      </c>
      <c r="F68" s="51">
        <v>93.88025149957798</v>
      </c>
      <c r="G68" s="47">
        <v>-6.1197485004220198</v>
      </c>
    </row>
    <row r="69" spans="1:7" x14ac:dyDescent="0.3">
      <c r="A69" s="41" t="s">
        <v>547</v>
      </c>
      <c r="B69" s="68">
        <v>19689</v>
      </c>
      <c r="C69" s="31">
        <v>6.3300947151151948E-2</v>
      </c>
      <c r="D69" s="30">
        <v>65938</v>
      </c>
      <c r="E69" s="31">
        <v>5.0013463237775946E-2</v>
      </c>
      <c r="F69" s="51">
        <v>126.56781405079695</v>
      </c>
      <c r="G69" s="47">
        <v>26.567814050796954</v>
      </c>
    </row>
    <row r="70" spans="1:7" x14ac:dyDescent="0.3">
      <c r="A70" s="41" t="s">
        <v>548</v>
      </c>
      <c r="B70" s="68">
        <v>74087</v>
      </c>
      <c r="C70" s="31">
        <v>0.23819276101312381</v>
      </c>
      <c r="D70" s="30">
        <v>276140</v>
      </c>
      <c r="E70" s="31">
        <v>0.20945005518031257</v>
      </c>
      <c r="F70" s="51">
        <v>113.7229402055144</v>
      </c>
      <c r="G70" s="47">
        <v>13.722940205514405</v>
      </c>
    </row>
    <row r="71" spans="1:7" x14ac:dyDescent="0.3">
      <c r="A71" s="41" t="s">
        <v>549</v>
      </c>
      <c r="B71" s="68">
        <v>67811</v>
      </c>
      <c r="C71" s="31">
        <v>0.21801516213453018</v>
      </c>
      <c r="D71" s="30">
        <v>299946</v>
      </c>
      <c r="E71" s="31">
        <v>0.22750672213773462</v>
      </c>
      <c r="F71" s="51">
        <v>95.828008986275947</v>
      </c>
      <c r="G71" s="47">
        <v>-4.1719910137240532</v>
      </c>
    </row>
    <row r="72" spans="1:7" x14ac:dyDescent="0.3">
      <c r="A72" s="41" t="s">
        <v>550</v>
      </c>
      <c r="B72" s="68">
        <v>137306</v>
      </c>
      <c r="C72" s="31">
        <v>0.44144445373234137</v>
      </c>
      <c r="D72" s="30">
        <v>693909</v>
      </c>
      <c r="E72" s="31">
        <v>0.52632461193639279</v>
      </c>
      <c r="F72" s="51">
        <v>83.873040272281756</v>
      </c>
      <c r="G72" s="47">
        <v>-16.126959727718244</v>
      </c>
    </row>
    <row r="73" spans="1:7" x14ac:dyDescent="0.3">
      <c r="A73" s="41" t="s">
        <v>551</v>
      </c>
      <c r="B73" s="68">
        <v>5887</v>
      </c>
      <c r="C73" s="31">
        <v>1.8926947832740695E-2</v>
      </c>
      <c r="D73" s="30">
        <v>24290</v>
      </c>
      <c r="E73" s="31">
        <v>1.8423777215650729E-2</v>
      </c>
      <c r="F73" s="51">
        <v>102.73109369050843</v>
      </c>
      <c r="G73" s="47">
        <v>2.7310936905084304</v>
      </c>
    </row>
    <row r="74" spans="1:7" x14ac:dyDescent="0.3">
      <c r="A74" s="41" t="s">
        <v>552</v>
      </c>
      <c r="B74" s="68">
        <v>36233</v>
      </c>
      <c r="C74" s="31">
        <v>0.11649058957426424</v>
      </c>
      <c r="D74" s="30">
        <v>142843</v>
      </c>
      <c r="E74" s="31">
        <v>0.1083453111904157</v>
      </c>
      <c r="F74" s="51">
        <v>107.51788729420262</v>
      </c>
      <c r="G74" s="47">
        <v>7.5178872942026231</v>
      </c>
    </row>
    <row r="75" spans="1:7" x14ac:dyDescent="0.3">
      <c r="A75" s="41" t="s">
        <v>553</v>
      </c>
      <c r="B75" s="68">
        <v>112639</v>
      </c>
      <c r="C75" s="31">
        <v>0.36213903124377084</v>
      </c>
      <c r="D75" s="30">
        <v>445647</v>
      </c>
      <c r="E75" s="31">
        <v>0.33801980423314537</v>
      </c>
      <c r="F75" s="51">
        <v>107.13544789641661</v>
      </c>
      <c r="G75" s="47">
        <v>7.1354478964166077</v>
      </c>
    </row>
    <row r="76" spans="1:7" x14ac:dyDescent="0.3">
      <c r="A76" s="41" t="s">
        <v>554</v>
      </c>
      <c r="B76" s="68">
        <v>57620</v>
      </c>
      <c r="C76" s="31">
        <v>0.1852506767661829</v>
      </c>
      <c r="D76" s="30">
        <v>218469</v>
      </c>
      <c r="E76" s="31">
        <v>0.16570704753091803</v>
      </c>
      <c r="F76" s="51">
        <v>111.79408451630179</v>
      </c>
      <c r="G76" s="47">
        <v>11.794084516301794</v>
      </c>
    </row>
    <row r="77" spans="1:7" x14ac:dyDescent="0.3">
      <c r="A77" s="41" t="s">
        <v>613</v>
      </c>
      <c r="B77" s="68">
        <v>146963</v>
      </c>
      <c r="C77" s="31">
        <v>0.47249210707373374</v>
      </c>
      <c r="D77" s="30">
        <v>614263</v>
      </c>
      <c r="E77" s="31">
        <v>0.46591373667423897</v>
      </c>
      <c r="F77" s="51">
        <v>101.41192883610861</v>
      </c>
      <c r="G77" s="47">
        <v>1.4119288361086149</v>
      </c>
    </row>
    <row r="78" spans="1:7" x14ac:dyDescent="0.3">
      <c r="A78" s="41" t="s">
        <v>555</v>
      </c>
      <c r="B78" s="68">
        <v>75073</v>
      </c>
      <c r="C78" s="31">
        <v>0.2413627916846173</v>
      </c>
      <c r="D78" s="30">
        <v>273445</v>
      </c>
      <c r="E78" s="31">
        <v>0.20740591851517554</v>
      </c>
      <c r="F78" s="51">
        <v>116.37218137868963</v>
      </c>
      <c r="G78" s="47">
        <v>16.372181378689632</v>
      </c>
    </row>
    <row r="79" spans="1:7" x14ac:dyDescent="0.3">
      <c r="A79" s="41" t="s">
        <v>556</v>
      </c>
      <c r="B79" s="68">
        <v>14482</v>
      </c>
      <c r="C79" s="31">
        <v>4.656022736771713E-2</v>
      </c>
      <c r="D79" s="30">
        <v>49427</v>
      </c>
      <c r="E79" s="31">
        <v>3.7489997383201669E-2</v>
      </c>
      <c r="F79" s="51">
        <v>124.19373330919356</v>
      </c>
      <c r="G79" s="47">
        <v>24.193733309193561</v>
      </c>
    </row>
    <row r="80" spans="1:7" x14ac:dyDescent="0.3">
      <c r="A80" s="41" t="s">
        <v>557</v>
      </c>
      <c r="B80" s="68">
        <v>65755</v>
      </c>
      <c r="C80" s="31">
        <v>0.21140503732662891</v>
      </c>
      <c r="D80" s="30">
        <v>276713</v>
      </c>
      <c r="E80" s="31">
        <v>0.20988467125048829</v>
      </c>
      <c r="F80" s="51">
        <v>100.7243816649793</v>
      </c>
      <c r="G80" s="47">
        <v>0.72438166497930467</v>
      </c>
    </row>
    <row r="81" spans="1:7" x14ac:dyDescent="0.3">
      <c r="A81" s="41" t="s">
        <v>558</v>
      </c>
      <c r="B81" s="68">
        <v>85082</v>
      </c>
      <c r="C81" s="31">
        <v>0.27354213954565038</v>
      </c>
      <c r="D81" s="30">
        <v>362008</v>
      </c>
      <c r="E81" s="31">
        <v>0.27458026934060475</v>
      </c>
      <c r="F81" s="51">
        <v>99.621921197234087</v>
      </c>
      <c r="G81" s="47">
        <v>-0.37807880276591277</v>
      </c>
    </row>
    <row r="82" spans="1:7" x14ac:dyDescent="0.3">
      <c r="A82" s="41" t="s">
        <v>559</v>
      </c>
      <c r="B82" s="68">
        <v>62359</v>
      </c>
      <c r="C82" s="31">
        <v>0.20048675724509546</v>
      </c>
      <c r="D82" s="30">
        <v>239995</v>
      </c>
      <c r="E82" s="31">
        <v>0.18203435211486607</v>
      </c>
      <c r="F82" s="51">
        <v>110.1367708434426</v>
      </c>
      <c r="G82" s="47">
        <v>10.136770843442605</v>
      </c>
    </row>
    <row r="83" spans="1:7" x14ac:dyDescent="0.3">
      <c r="A83" s="41" t="s">
        <v>560</v>
      </c>
      <c r="B83" s="68">
        <v>11188</v>
      </c>
      <c r="C83" s="31">
        <v>3.5969881493579561E-2</v>
      </c>
      <c r="D83" s="30">
        <v>43803</v>
      </c>
      <c r="E83" s="31">
        <v>3.3224236861965788E-2</v>
      </c>
      <c r="F83" s="51">
        <v>108.26398102993575</v>
      </c>
      <c r="G83" s="47">
        <v>8.2639810299357492</v>
      </c>
    </row>
    <row r="84" spans="1:7" x14ac:dyDescent="0.3">
      <c r="A84" s="41" t="s">
        <v>561</v>
      </c>
      <c r="B84" s="68">
        <v>170289</v>
      </c>
      <c r="C84" s="31">
        <v>0.54748615924742317</v>
      </c>
      <c r="D84" s="30">
        <v>764129</v>
      </c>
      <c r="E84" s="31">
        <v>0.57958593907031608</v>
      </c>
      <c r="F84" s="51">
        <v>94.46160135037394</v>
      </c>
      <c r="G84" s="47">
        <v>-5.5383986496260604</v>
      </c>
    </row>
    <row r="85" spans="1:7" x14ac:dyDescent="0.3">
      <c r="A85" s="41" t="s">
        <v>562</v>
      </c>
      <c r="B85" s="68">
        <v>42010</v>
      </c>
      <c r="C85" s="31">
        <v>0.13506388286961721</v>
      </c>
      <c r="D85" s="30">
        <v>146271</v>
      </c>
      <c r="E85" s="31">
        <v>0.11094542268877924</v>
      </c>
      <c r="F85" s="51">
        <v>121.73903131496857</v>
      </c>
      <c r="G85" s="47">
        <v>21.739031314968571</v>
      </c>
    </row>
    <row r="86" spans="1:7" x14ac:dyDescent="0.3">
      <c r="A86" s="41" t="s">
        <v>563</v>
      </c>
      <c r="B86" s="68">
        <v>43329</v>
      </c>
      <c r="C86" s="31">
        <v>0.13930452227702081</v>
      </c>
      <c r="D86" s="30">
        <v>182554</v>
      </c>
      <c r="E86" s="31">
        <v>0.13846579768735706</v>
      </c>
      <c r="F86" s="51">
        <v>100.60572690416842</v>
      </c>
      <c r="G86" s="47">
        <v>0.60572690416842079</v>
      </c>
    </row>
    <row r="87" spans="1:7" x14ac:dyDescent="0.3">
      <c r="A87" s="41" t="s">
        <v>564</v>
      </c>
      <c r="B87" s="68">
        <v>36869</v>
      </c>
      <c r="C87" s="31">
        <v>0.11853535580861503</v>
      </c>
      <c r="D87" s="30">
        <v>148553</v>
      </c>
      <c r="E87" s="31">
        <v>0.11267630204679138</v>
      </c>
      <c r="F87" s="51">
        <v>105.1998988743796</v>
      </c>
      <c r="G87" s="47">
        <v>5.1998988743795991</v>
      </c>
    </row>
    <row r="88" spans="1:7" x14ac:dyDescent="0.3">
      <c r="A88" s="41" t="s">
        <v>565</v>
      </c>
      <c r="B88" s="68">
        <v>35123</v>
      </c>
      <c r="C88" s="31">
        <v>0.1129218937878973</v>
      </c>
      <c r="D88" s="30">
        <v>129473</v>
      </c>
      <c r="E88" s="31">
        <v>9.8204269552982587E-2</v>
      </c>
      <c r="F88" s="51">
        <v>114.98674579212094</v>
      </c>
      <c r="G88" s="47">
        <v>14.986745792120942</v>
      </c>
    </row>
    <row r="89" spans="1:7" x14ac:dyDescent="0.3">
      <c r="A89" s="64" t="s">
        <v>395</v>
      </c>
      <c r="B89" s="229">
        <v>311038</v>
      </c>
      <c r="C89" s="228"/>
      <c r="D89" s="227">
        <v>1318405</v>
      </c>
      <c r="E89" s="228"/>
      <c r="F89" s="60"/>
      <c r="G89" s="48"/>
    </row>
    <row r="90" spans="1:7" x14ac:dyDescent="0.3">
      <c r="A90" s="149"/>
      <c r="B90" s="150"/>
      <c r="C90" s="150"/>
      <c r="D90" s="150"/>
      <c r="E90" s="150"/>
      <c r="F90" s="151"/>
      <c r="G90" s="151"/>
    </row>
    <row r="91" spans="1:7" x14ac:dyDescent="0.3">
      <c r="A91" s="11" t="s">
        <v>567</v>
      </c>
      <c r="B91" s="9"/>
      <c r="C91" s="9"/>
      <c r="D91" s="9"/>
      <c r="E91" s="9"/>
      <c r="F91" s="9"/>
    </row>
    <row r="92" spans="1:7" ht="39.950000000000003" customHeight="1" x14ac:dyDescent="0.3">
      <c r="A92" s="254" t="s">
        <v>534</v>
      </c>
      <c r="B92" s="230" t="s">
        <v>888</v>
      </c>
      <c r="C92" s="246" t="s">
        <v>888</v>
      </c>
      <c r="D92" s="230" t="s">
        <v>889</v>
      </c>
      <c r="E92" s="231" t="s">
        <v>889</v>
      </c>
      <c r="F92" s="238" t="s">
        <v>1</v>
      </c>
      <c r="G92" s="239" t="s">
        <v>1</v>
      </c>
    </row>
    <row r="93" spans="1:7" x14ac:dyDescent="0.3">
      <c r="A93" s="242" t="s">
        <v>871</v>
      </c>
      <c r="B93" s="37" t="s">
        <v>74</v>
      </c>
      <c r="C93" s="38" t="s">
        <v>75</v>
      </c>
      <c r="D93" s="36" t="s">
        <v>74</v>
      </c>
      <c r="E93" s="38" t="s">
        <v>75</v>
      </c>
      <c r="F93" s="240" t="s">
        <v>869</v>
      </c>
      <c r="G93" s="241" t="s">
        <v>870</v>
      </c>
    </row>
    <row r="94" spans="1:7" x14ac:dyDescent="0.3">
      <c r="A94" s="41" t="s">
        <v>568</v>
      </c>
      <c r="B94" s="34">
        <v>4070</v>
      </c>
      <c r="C94" s="29">
        <v>1.3085217883345443E-2</v>
      </c>
      <c r="D94" s="34">
        <v>13200</v>
      </c>
      <c r="E94" s="29">
        <v>1.0012097951691628E-2</v>
      </c>
      <c r="F94" s="51">
        <v>130.69406578403067</v>
      </c>
      <c r="G94" s="47">
        <v>30.69406578403067</v>
      </c>
    </row>
    <row r="95" spans="1:7" x14ac:dyDescent="0.3">
      <c r="A95" s="41" t="s">
        <v>569</v>
      </c>
      <c r="B95" s="34">
        <v>8899</v>
      </c>
      <c r="C95" s="29">
        <v>2.8610652074666117E-2</v>
      </c>
      <c r="D95" s="34">
        <v>28802</v>
      </c>
      <c r="E95" s="29">
        <v>2.1846094333683504E-2</v>
      </c>
      <c r="F95" s="51">
        <v>130.96460922331846</v>
      </c>
      <c r="G95" s="47">
        <v>30.964609223318462</v>
      </c>
    </row>
    <row r="96" spans="1:7" x14ac:dyDescent="0.3">
      <c r="A96" s="41" t="s">
        <v>570</v>
      </c>
      <c r="B96" s="34">
        <v>21848</v>
      </c>
      <c r="C96" s="29">
        <v>7.0242221207698088E-2</v>
      </c>
      <c r="D96" s="34">
        <v>73675</v>
      </c>
      <c r="E96" s="29">
        <v>5.5881917923551565E-2</v>
      </c>
      <c r="F96" s="51">
        <v>125.69758486777766</v>
      </c>
      <c r="G96" s="47">
        <v>25.697584867777664</v>
      </c>
    </row>
    <row r="97" spans="1:7" x14ac:dyDescent="0.3">
      <c r="A97" s="41" t="s">
        <v>571</v>
      </c>
      <c r="B97" s="34">
        <v>1822</v>
      </c>
      <c r="C97" s="29">
        <v>5.8578051556401473E-3</v>
      </c>
      <c r="D97" s="34">
        <v>5904</v>
      </c>
      <c r="E97" s="29">
        <v>4.4781383565748005E-3</v>
      </c>
      <c r="F97" s="51">
        <v>130.80893641974507</v>
      </c>
      <c r="G97" s="47">
        <v>30.808936419745066</v>
      </c>
    </row>
    <row r="98" spans="1:7" x14ac:dyDescent="0.3">
      <c r="A98" s="41" t="s">
        <v>572</v>
      </c>
      <c r="B98" s="34">
        <v>8967</v>
      </c>
      <c r="C98" s="29">
        <v>2.8829274879596706E-2</v>
      </c>
      <c r="D98" s="34">
        <v>28999</v>
      </c>
      <c r="E98" s="29">
        <v>2.199551731068981E-2</v>
      </c>
      <c r="F98" s="51">
        <v>131.06886495270422</v>
      </c>
      <c r="G98" s="47">
        <v>31.068864952704217</v>
      </c>
    </row>
    <row r="99" spans="1:7" x14ac:dyDescent="0.3">
      <c r="A99" s="41" t="s">
        <v>573</v>
      </c>
      <c r="B99" s="34">
        <v>5834</v>
      </c>
      <c r="C99" s="29">
        <v>1.8756550646544794E-2</v>
      </c>
      <c r="D99" s="34">
        <v>19410</v>
      </c>
      <c r="E99" s="29">
        <v>1.4722334942601098E-2</v>
      </c>
      <c r="F99" s="51">
        <v>127.40201007294121</v>
      </c>
      <c r="G99" s="47">
        <v>27.402010072941209</v>
      </c>
    </row>
    <row r="100" spans="1:7" x14ac:dyDescent="0.3">
      <c r="A100" s="41" t="s">
        <v>574</v>
      </c>
      <c r="B100" s="34">
        <v>7916</v>
      </c>
      <c r="C100" s="29">
        <v>2.5450266526919542E-2</v>
      </c>
      <c r="D100" s="34">
        <v>24885</v>
      </c>
      <c r="E100" s="29">
        <v>1.8875080115745919E-2</v>
      </c>
      <c r="F100" s="51">
        <v>134.83527683513506</v>
      </c>
      <c r="G100" s="47">
        <v>34.835276835135062</v>
      </c>
    </row>
    <row r="101" spans="1:7" x14ac:dyDescent="0.3">
      <c r="A101" s="41" t="s">
        <v>575</v>
      </c>
      <c r="B101" s="34">
        <v>18441</v>
      </c>
      <c r="C101" s="29">
        <v>5.9288575672425875E-2</v>
      </c>
      <c r="D101" s="34">
        <v>64720</v>
      </c>
      <c r="E101" s="29">
        <v>4.9089619654051675E-2</v>
      </c>
      <c r="F101" s="51">
        <v>120.77619686249173</v>
      </c>
      <c r="G101" s="47">
        <v>20.77619686249173</v>
      </c>
    </row>
    <row r="102" spans="1:7" x14ac:dyDescent="0.3">
      <c r="A102" s="41" t="s">
        <v>576</v>
      </c>
      <c r="B102" s="34">
        <v>11481</v>
      </c>
      <c r="C102" s="29">
        <v>3.6911888579530476E-2</v>
      </c>
      <c r="D102" s="34">
        <v>37668</v>
      </c>
      <c r="E102" s="29">
        <v>2.8570886791236379E-2</v>
      </c>
      <c r="F102" s="51">
        <v>129.19405984574675</v>
      </c>
      <c r="G102" s="47">
        <v>29.19405984574675</v>
      </c>
    </row>
    <row r="103" spans="1:7" x14ac:dyDescent="0.3">
      <c r="A103" s="41" t="s">
        <v>577</v>
      </c>
      <c r="B103" s="34">
        <v>51195</v>
      </c>
      <c r="C103" s="29">
        <v>0.1645940367414914</v>
      </c>
      <c r="D103" s="34">
        <v>195183</v>
      </c>
      <c r="E103" s="29">
        <v>0.14804479655341113</v>
      </c>
      <c r="F103" s="51">
        <v>111.17853553340504</v>
      </c>
      <c r="G103" s="47">
        <v>11.178535533405039</v>
      </c>
    </row>
    <row r="104" spans="1:7" x14ac:dyDescent="0.3">
      <c r="A104" s="41" t="s">
        <v>578</v>
      </c>
      <c r="B104" s="34">
        <v>8510</v>
      </c>
      <c r="C104" s="29">
        <v>2.73600010288132E-2</v>
      </c>
      <c r="D104" s="34">
        <v>30497</v>
      </c>
      <c r="E104" s="29">
        <v>2.3131738729752997E-2</v>
      </c>
      <c r="F104" s="51">
        <v>118.27905091121247</v>
      </c>
      <c r="G104" s="47">
        <v>18.279050911212465</v>
      </c>
    </row>
    <row r="105" spans="1:7" x14ac:dyDescent="0.3">
      <c r="A105" s="41" t="s">
        <v>579</v>
      </c>
      <c r="B105" s="34">
        <v>11724</v>
      </c>
      <c r="C105" s="29">
        <v>3.7693143603032428E-2</v>
      </c>
      <c r="D105" s="34">
        <v>48545</v>
      </c>
      <c r="E105" s="29">
        <v>3.6821007201884096E-2</v>
      </c>
      <c r="F105" s="51">
        <v>102.36858377166746</v>
      </c>
      <c r="G105" s="47">
        <v>2.3685837716674598</v>
      </c>
    </row>
    <row r="106" spans="1:7" x14ac:dyDescent="0.3">
      <c r="A106" s="41" t="s">
        <v>614</v>
      </c>
      <c r="B106" s="34">
        <v>40318</v>
      </c>
      <c r="C106" s="29">
        <v>0.12962403307634437</v>
      </c>
      <c r="D106" s="34">
        <v>130905</v>
      </c>
      <c r="E106" s="29">
        <v>9.9290430482287306E-2</v>
      </c>
      <c r="F106" s="51">
        <v>130.55037876935015</v>
      </c>
      <c r="G106" s="47">
        <v>30.550378769350147</v>
      </c>
    </row>
    <row r="107" spans="1:7" x14ac:dyDescent="0.3">
      <c r="A107" s="41" t="s">
        <v>580</v>
      </c>
      <c r="B107" s="34">
        <v>9479</v>
      </c>
      <c r="C107" s="29">
        <v>3.0475375999074069E-2</v>
      </c>
      <c r="D107" s="34">
        <v>44265</v>
      </c>
      <c r="E107" s="29">
        <v>3.3574660290274991E-2</v>
      </c>
      <c r="F107" s="51">
        <v>90.768977960147396</v>
      </c>
      <c r="G107" s="47">
        <v>-9.2310220398526042</v>
      </c>
    </row>
    <row r="108" spans="1:7" x14ac:dyDescent="0.3">
      <c r="A108" s="41" t="s">
        <v>581</v>
      </c>
      <c r="B108" s="34">
        <v>1811</v>
      </c>
      <c r="C108" s="29">
        <v>5.8224397019013751E-3</v>
      </c>
      <c r="D108" s="34">
        <v>6425</v>
      </c>
      <c r="E108" s="29">
        <v>4.8733128287589932E-3</v>
      </c>
      <c r="F108" s="51">
        <v>119.47600957486821</v>
      </c>
      <c r="G108" s="47">
        <v>19.476009574868215</v>
      </c>
    </row>
    <row r="109" spans="1:7" x14ac:dyDescent="0.3">
      <c r="A109" s="41" t="s">
        <v>582</v>
      </c>
      <c r="B109" s="34">
        <v>2462</v>
      </c>
      <c r="C109" s="29">
        <v>7.9154315549868504E-3</v>
      </c>
      <c r="D109" s="34">
        <v>8015</v>
      </c>
      <c r="E109" s="29">
        <v>6.0793155365763936E-3</v>
      </c>
      <c r="F109" s="51">
        <v>130.20267672180211</v>
      </c>
      <c r="G109" s="47">
        <v>30.202676721802106</v>
      </c>
    </row>
    <row r="110" spans="1:7" x14ac:dyDescent="0.3">
      <c r="A110" s="41" t="s">
        <v>583</v>
      </c>
      <c r="B110" s="34">
        <v>2566</v>
      </c>
      <c r="C110" s="29">
        <v>8.2497958448806905E-3</v>
      </c>
      <c r="D110" s="34">
        <v>7844</v>
      </c>
      <c r="E110" s="29">
        <v>5.9496133585658431E-3</v>
      </c>
      <c r="F110" s="51">
        <v>138.66104144403272</v>
      </c>
      <c r="G110" s="47">
        <v>38.661041444032719</v>
      </c>
    </row>
    <row r="111" spans="1:7" x14ac:dyDescent="0.3">
      <c r="A111" s="41" t="s">
        <v>584</v>
      </c>
      <c r="B111" s="34">
        <v>1846</v>
      </c>
      <c r="C111" s="29">
        <v>5.9349661456156479E-3</v>
      </c>
      <c r="D111" s="34">
        <v>6635</v>
      </c>
      <c r="E111" s="29">
        <v>5.0325962052631783E-3</v>
      </c>
      <c r="F111" s="51">
        <v>117.93050551937299</v>
      </c>
      <c r="G111" s="47">
        <v>17.930505519372986</v>
      </c>
    </row>
    <row r="112" spans="1:7" x14ac:dyDescent="0.3">
      <c r="A112" s="41" t="s">
        <v>585</v>
      </c>
      <c r="B112" s="34">
        <v>38755</v>
      </c>
      <c r="C112" s="29">
        <v>0.12459892360418984</v>
      </c>
      <c r="D112" s="34">
        <v>142059</v>
      </c>
      <c r="E112" s="29">
        <v>0.10775065325146674</v>
      </c>
      <c r="F112" s="51">
        <v>115.63635100513301</v>
      </c>
      <c r="G112" s="47">
        <v>15.636351005133008</v>
      </c>
    </row>
    <row r="113" spans="1:7" x14ac:dyDescent="0.3">
      <c r="A113" s="41" t="s">
        <v>586</v>
      </c>
      <c r="B113" s="34">
        <v>7116</v>
      </c>
      <c r="C113" s="29">
        <v>2.2878233527736162E-2</v>
      </c>
      <c r="D113" s="34">
        <v>24462</v>
      </c>
      <c r="E113" s="29">
        <v>1.8554237885930348E-2</v>
      </c>
      <c r="F113" s="51">
        <v>123.304625435921</v>
      </c>
      <c r="G113" s="47">
        <v>23.304625435920997</v>
      </c>
    </row>
    <row r="114" spans="1:7" x14ac:dyDescent="0.3">
      <c r="A114" s="41" t="s">
        <v>587</v>
      </c>
      <c r="B114" s="34">
        <v>9471</v>
      </c>
      <c r="C114" s="29">
        <v>3.0449655669082233E-2</v>
      </c>
      <c r="D114" s="34">
        <v>32049</v>
      </c>
      <c r="E114" s="29">
        <v>2.430891873134583E-2</v>
      </c>
      <c r="F114" s="51">
        <v>125.26125084213662</v>
      </c>
      <c r="G114" s="47">
        <v>25.261250842136619</v>
      </c>
    </row>
    <row r="115" spans="1:7" x14ac:dyDescent="0.3">
      <c r="A115" s="41" t="s">
        <v>615</v>
      </c>
      <c r="B115" s="34">
        <v>2913</v>
      </c>
      <c r="C115" s="29">
        <v>9.3654151582764807E-3</v>
      </c>
      <c r="D115" s="34">
        <v>10748</v>
      </c>
      <c r="E115" s="29">
        <v>8.1522749079380001E-3</v>
      </c>
      <c r="F115" s="51">
        <v>114.88100271443528</v>
      </c>
      <c r="G115" s="47">
        <v>14.881002714435283</v>
      </c>
    </row>
    <row r="116" spans="1:7" x14ac:dyDescent="0.3">
      <c r="A116" s="41" t="s">
        <v>588</v>
      </c>
      <c r="B116" s="34">
        <v>13843</v>
      </c>
      <c r="C116" s="29">
        <v>4.4505816009619406E-2</v>
      </c>
      <c r="D116" s="34">
        <v>48993</v>
      </c>
      <c r="E116" s="29">
        <v>3.7160811738426357E-2</v>
      </c>
      <c r="F116" s="51">
        <v>119.76545701663967</v>
      </c>
      <c r="G116" s="47">
        <v>19.765457016639672</v>
      </c>
    </row>
    <row r="117" spans="1:7" x14ac:dyDescent="0.3">
      <c r="A117" s="41" t="s">
        <v>589</v>
      </c>
      <c r="B117" s="34">
        <v>9665</v>
      </c>
      <c r="C117" s="29">
        <v>3.1073373671384203E-2</v>
      </c>
      <c r="D117" s="34">
        <v>31374</v>
      </c>
      <c r="E117" s="29">
        <v>2.3796936449725237E-2</v>
      </c>
      <c r="F117" s="51">
        <v>130.57720155294604</v>
      </c>
      <c r="G117" s="47">
        <v>30.577201552946036</v>
      </c>
    </row>
    <row r="118" spans="1:7" x14ac:dyDescent="0.3">
      <c r="A118" s="41" t="s">
        <v>590</v>
      </c>
      <c r="B118" s="34">
        <v>19009</v>
      </c>
      <c r="C118" s="29">
        <v>6.1114719101846078E-2</v>
      </c>
      <c r="D118" s="34">
        <v>73444</v>
      </c>
      <c r="E118" s="29">
        <v>5.570670620939696E-2</v>
      </c>
      <c r="F118" s="51">
        <v>109.70801050796442</v>
      </c>
      <c r="G118" s="47">
        <v>9.708010507964417</v>
      </c>
    </row>
    <row r="119" spans="1:7" x14ac:dyDescent="0.3">
      <c r="A119" s="41" t="s">
        <v>591</v>
      </c>
      <c r="B119" s="34">
        <v>12934</v>
      </c>
      <c r="C119" s="29">
        <v>4.1583343514297287E-2</v>
      </c>
      <c r="D119" s="34">
        <v>47104</v>
      </c>
      <c r="E119" s="29">
        <v>3.572801984215776E-2</v>
      </c>
      <c r="F119" s="51">
        <v>116.38860395288535</v>
      </c>
      <c r="G119" s="47">
        <v>16.388603952885347</v>
      </c>
    </row>
    <row r="120" spans="1:7" x14ac:dyDescent="0.3">
      <c r="A120" s="41" t="s">
        <v>592</v>
      </c>
      <c r="B120" s="34">
        <v>2408</v>
      </c>
      <c r="C120" s="29">
        <v>7.7418193275419723E-3</v>
      </c>
      <c r="D120" s="34">
        <v>8425</v>
      </c>
      <c r="E120" s="29">
        <v>6.3902973668940877E-3</v>
      </c>
      <c r="F120" s="51">
        <v>121.14959419024302</v>
      </c>
      <c r="G120" s="47">
        <v>21.149594190243022</v>
      </c>
    </row>
    <row r="121" spans="1:7" x14ac:dyDescent="0.3">
      <c r="A121" s="41" t="s">
        <v>593</v>
      </c>
      <c r="B121" s="34">
        <v>3898</v>
      </c>
      <c r="C121" s="29">
        <v>1.2532230788521016E-2</v>
      </c>
      <c r="D121" s="34">
        <v>14741</v>
      </c>
      <c r="E121" s="29">
        <v>1.1180934538324718E-2</v>
      </c>
      <c r="F121" s="51">
        <v>112.08571828736211</v>
      </c>
      <c r="G121" s="47">
        <v>12.085718287362113</v>
      </c>
    </row>
    <row r="122" spans="1:7" x14ac:dyDescent="0.3">
      <c r="A122" s="41" t="s">
        <v>594</v>
      </c>
      <c r="B122" s="34">
        <v>2685</v>
      </c>
      <c r="C122" s="29">
        <v>8.6323857535092179E-3</v>
      </c>
      <c r="D122" s="34">
        <v>9752</v>
      </c>
      <c r="E122" s="29">
        <v>7.3968166079467238E-3</v>
      </c>
      <c r="F122" s="51">
        <v>116.70406623621123</v>
      </c>
      <c r="G122" s="47">
        <v>16.704066236211233</v>
      </c>
    </row>
    <row r="123" spans="1:7" x14ac:dyDescent="0.3">
      <c r="A123" s="41" t="s">
        <v>595</v>
      </c>
      <c r="B123" s="34">
        <v>5677</v>
      </c>
      <c r="C123" s="29">
        <v>1.8251789170455057E-2</v>
      </c>
      <c r="D123" s="34">
        <v>20143</v>
      </c>
      <c r="E123" s="29">
        <v>1.5278309775827609E-2</v>
      </c>
      <c r="F123" s="51">
        <v>119.46209651627761</v>
      </c>
      <c r="G123" s="47">
        <v>19.462096516277612</v>
      </c>
    </row>
    <row r="124" spans="1:7" x14ac:dyDescent="0.3">
      <c r="A124" s="41" t="s">
        <v>596</v>
      </c>
      <c r="B124" s="34">
        <v>15832</v>
      </c>
      <c r="C124" s="29">
        <v>5.0900533053839084E-2</v>
      </c>
      <c r="D124" s="34">
        <v>53541</v>
      </c>
      <c r="E124" s="29">
        <v>4.061043457814556E-2</v>
      </c>
      <c r="F124" s="51">
        <v>125.33855789179643</v>
      </c>
      <c r="G124" s="47">
        <v>25.338557891796427</v>
      </c>
    </row>
    <row r="125" spans="1:7" x14ac:dyDescent="0.3">
      <c r="A125" s="41" t="s">
        <v>597</v>
      </c>
      <c r="B125" s="34">
        <v>4591</v>
      </c>
      <c r="C125" s="29">
        <v>1.4760254374063619E-2</v>
      </c>
      <c r="D125" s="34">
        <v>17535</v>
      </c>
      <c r="E125" s="29">
        <v>1.3300161938099447E-2</v>
      </c>
      <c r="F125" s="51">
        <v>110.97800495031278</v>
      </c>
      <c r="G125" s="47">
        <v>10.97800495031278</v>
      </c>
    </row>
    <row r="126" spans="1:7" x14ac:dyDescent="0.3">
      <c r="A126" s="41" t="s">
        <v>598</v>
      </c>
      <c r="B126" s="34">
        <v>1027</v>
      </c>
      <c r="C126" s="29">
        <v>3.3018473627016635E-3</v>
      </c>
      <c r="D126" s="34">
        <v>6593</v>
      </c>
      <c r="E126" s="29">
        <v>5.0007395299623411E-3</v>
      </c>
      <c r="F126" s="51">
        <v>66.027181438232773</v>
      </c>
      <c r="G126" s="47">
        <v>-33.972818561767227</v>
      </c>
    </row>
    <row r="127" spans="1:7" x14ac:dyDescent="0.3">
      <c r="A127" s="41" t="s">
        <v>599</v>
      </c>
      <c r="B127" s="34">
        <v>4023</v>
      </c>
      <c r="C127" s="29">
        <v>1.2934110944643419E-2</v>
      </c>
      <c r="D127" s="34">
        <v>12685</v>
      </c>
      <c r="E127" s="29">
        <v>9.6214744331218401E-3</v>
      </c>
      <c r="F127" s="51">
        <v>134.42961403210569</v>
      </c>
      <c r="G127" s="47">
        <v>34.42961403210569</v>
      </c>
    </row>
    <row r="128" spans="1:7" x14ac:dyDescent="0.3">
      <c r="A128" s="41" t="s">
        <v>600</v>
      </c>
      <c r="B128" s="34">
        <v>8022</v>
      </c>
      <c r="C128" s="29">
        <v>2.5791060899311338E-2</v>
      </c>
      <c r="D128" s="34">
        <v>25625</v>
      </c>
      <c r="E128" s="29">
        <v>1.9436364394855906E-2</v>
      </c>
      <c r="F128" s="51">
        <v>132.69488251690368</v>
      </c>
      <c r="G128" s="47">
        <v>32.694882516903675</v>
      </c>
    </row>
    <row r="129" spans="1:18" x14ac:dyDescent="0.3">
      <c r="A129" s="41" t="s">
        <v>601</v>
      </c>
      <c r="B129" s="34">
        <v>5292</v>
      </c>
      <c r="C129" s="29">
        <v>1.7013998289598056E-2</v>
      </c>
      <c r="D129" s="34">
        <v>20850</v>
      </c>
      <c r="E129" s="29">
        <v>1.5814563810058364E-2</v>
      </c>
      <c r="F129" s="51">
        <v>107.58436649878911</v>
      </c>
      <c r="G129" s="47">
        <v>7.5843664987891088</v>
      </c>
    </row>
    <row r="130" spans="1:18" x14ac:dyDescent="0.3">
      <c r="A130" s="41" t="s">
        <v>602</v>
      </c>
      <c r="B130" s="34">
        <v>5214</v>
      </c>
      <c r="C130" s="29">
        <v>1.6763225072177677E-2</v>
      </c>
      <c r="D130" s="34">
        <v>16098</v>
      </c>
      <c r="E130" s="29">
        <v>1.2210208547449379E-2</v>
      </c>
      <c r="F130" s="51">
        <v>137.28860573539825</v>
      </c>
      <c r="G130" s="47">
        <v>37.288605735398249</v>
      </c>
    </row>
    <row r="131" spans="1:18" x14ac:dyDescent="0.3">
      <c r="A131" s="41" t="s">
        <v>603</v>
      </c>
      <c r="B131" s="34">
        <v>5175</v>
      </c>
      <c r="C131" s="29">
        <v>1.6637838463467485E-2</v>
      </c>
      <c r="D131" s="34">
        <v>18092</v>
      </c>
      <c r="E131" s="29">
        <v>1.372264213197007E-2</v>
      </c>
      <c r="F131" s="51">
        <v>121.24369566343051</v>
      </c>
      <c r="G131" s="47">
        <v>21.243695663430515</v>
      </c>
    </row>
    <row r="132" spans="1:18" x14ac:dyDescent="0.3">
      <c r="A132" s="41" t="s">
        <v>604</v>
      </c>
      <c r="B132" s="34">
        <v>10842</v>
      </c>
      <c r="C132" s="29">
        <v>3.4857477221432752E-2</v>
      </c>
      <c r="D132" s="34">
        <v>32910</v>
      </c>
      <c r="E132" s="29">
        <v>2.496198057501299E-2</v>
      </c>
      <c r="F132" s="51">
        <v>139.64227364364342</v>
      </c>
      <c r="G132" s="47">
        <v>39.642273643643421</v>
      </c>
    </row>
    <row r="133" spans="1:18" x14ac:dyDescent="0.3">
      <c r="A133" s="41" t="s">
        <v>605</v>
      </c>
      <c r="B133" s="34">
        <v>83799</v>
      </c>
      <c r="C133" s="29">
        <v>0.26941724162321001</v>
      </c>
      <c r="D133" s="34">
        <v>330793</v>
      </c>
      <c r="E133" s="29">
        <v>0.25090393316166126</v>
      </c>
      <c r="F133" s="51">
        <v>107.37864417997001</v>
      </c>
      <c r="G133" s="47">
        <v>7.37864417997001</v>
      </c>
    </row>
    <row r="134" spans="1:18" x14ac:dyDescent="0.3">
      <c r="A134" s="41" t="s">
        <v>606</v>
      </c>
      <c r="B134" s="34">
        <v>12863</v>
      </c>
      <c r="C134" s="29">
        <v>4.1355075585619766E-2</v>
      </c>
      <c r="D134" s="34">
        <v>42163</v>
      </c>
      <c r="E134" s="29">
        <v>3.1980309540695008E-2</v>
      </c>
      <c r="F134" s="51">
        <v>129.31418169356789</v>
      </c>
      <c r="G134" s="47">
        <v>29.314181693567889</v>
      </c>
    </row>
    <row r="135" spans="1:18" x14ac:dyDescent="0.3">
      <c r="A135" s="41" t="s">
        <v>607</v>
      </c>
      <c r="B135" s="34">
        <v>14222</v>
      </c>
      <c r="C135" s="29">
        <v>4.5724316642982529E-2</v>
      </c>
      <c r="D135" s="34">
        <v>50729</v>
      </c>
      <c r="E135" s="29">
        <v>3.8477554317527619E-2</v>
      </c>
      <c r="F135" s="51">
        <v>118.83373944625635</v>
      </c>
      <c r="G135" s="47">
        <v>18.833739446256345</v>
      </c>
    </row>
    <row r="136" spans="1:18" x14ac:dyDescent="0.3">
      <c r="A136" s="41" t="s">
        <v>608</v>
      </c>
      <c r="B136" s="34">
        <v>31025</v>
      </c>
      <c r="C136" s="29">
        <v>9.9746654749580443E-2</v>
      </c>
      <c r="D136" s="34">
        <v>121015</v>
      </c>
      <c r="E136" s="29">
        <v>9.1788941941209262E-2</v>
      </c>
      <c r="F136" s="51">
        <v>108.66957679223287</v>
      </c>
      <c r="G136" s="47">
        <v>8.6695767922328741</v>
      </c>
    </row>
    <row r="137" spans="1:18" x14ac:dyDescent="0.3">
      <c r="A137" s="41" t="s">
        <v>609</v>
      </c>
      <c r="B137" s="34">
        <v>3772</v>
      </c>
      <c r="C137" s="29">
        <v>1.2127135591149635E-2</v>
      </c>
      <c r="D137" s="34">
        <v>12194</v>
      </c>
      <c r="E137" s="29">
        <v>9.2490547290096752E-3</v>
      </c>
      <c r="F137" s="51">
        <v>131.11756764843065</v>
      </c>
      <c r="G137" s="47">
        <v>31.117567648430651</v>
      </c>
    </row>
    <row r="138" spans="1:18" x14ac:dyDescent="0.3">
      <c r="A138" s="64" t="s">
        <v>395</v>
      </c>
      <c r="B138" s="229">
        <v>311038</v>
      </c>
      <c r="C138" s="228"/>
      <c r="D138" s="227">
        <v>1318405</v>
      </c>
      <c r="E138" s="228"/>
      <c r="F138" s="60"/>
      <c r="G138" s="48"/>
    </row>
    <row r="139" spans="1:18" x14ac:dyDescent="0.3">
      <c r="A139" s="149"/>
      <c r="B139" s="150"/>
      <c r="C139" s="150"/>
      <c r="D139" s="150"/>
      <c r="E139" s="150"/>
      <c r="F139" s="151"/>
      <c r="G139" s="151"/>
    </row>
    <row r="140" spans="1:18" x14ac:dyDescent="0.3">
      <c r="A140" s="149"/>
      <c r="B140" s="150"/>
      <c r="C140" s="150"/>
      <c r="D140" s="150"/>
      <c r="E140" s="150"/>
      <c r="F140" s="151"/>
      <c r="G140" s="151"/>
    </row>
    <row r="141" spans="1:18" s="8" customFormat="1" ht="15" customHeight="1" x14ac:dyDescent="0.3">
      <c r="A141" s="17" t="s">
        <v>610</v>
      </c>
      <c r="B141" s="12"/>
      <c r="C141" s="12"/>
      <c r="D141" s="12"/>
      <c r="E141" s="12"/>
      <c r="F141" s="12"/>
      <c r="G141" s="56"/>
      <c r="H141" s="114"/>
      <c r="I141" s="114"/>
      <c r="J141" s="114"/>
      <c r="K141" s="114"/>
      <c r="L141" s="114"/>
      <c r="M141" s="114"/>
      <c r="N141" s="114"/>
      <c r="O141" s="114"/>
      <c r="P141" s="114"/>
      <c r="Q141" s="114"/>
      <c r="R141" s="114"/>
    </row>
    <row r="142" spans="1:18" ht="15" customHeight="1" x14ac:dyDescent="0.3">
      <c r="A142" s="21" t="s">
        <v>120</v>
      </c>
      <c r="B142" s="9"/>
      <c r="C142" s="9"/>
      <c r="D142" s="9"/>
      <c r="E142" s="9"/>
      <c r="F142" s="9"/>
      <c r="G142" s="3"/>
    </row>
    <row r="143" spans="1:18" ht="39.950000000000003" customHeight="1" x14ac:dyDescent="0.3">
      <c r="A143" s="254" t="s">
        <v>121</v>
      </c>
      <c r="B143" s="230" t="s">
        <v>888</v>
      </c>
      <c r="C143" s="246" t="s">
        <v>888</v>
      </c>
      <c r="D143" s="230" t="s">
        <v>889</v>
      </c>
      <c r="E143" s="231" t="s">
        <v>889</v>
      </c>
      <c r="F143" s="238" t="s">
        <v>1</v>
      </c>
      <c r="G143" s="239" t="s">
        <v>1</v>
      </c>
    </row>
    <row r="144" spans="1:18" x14ac:dyDescent="0.3">
      <c r="A144" s="242" t="s">
        <v>871</v>
      </c>
      <c r="B144" s="37" t="s">
        <v>74</v>
      </c>
      <c r="C144" s="38" t="s">
        <v>75</v>
      </c>
      <c r="D144" s="36" t="s">
        <v>74</v>
      </c>
      <c r="E144" s="38" t="s">
        <v>75</v>
      </c>
      <c r="F144" s="240" t="s">
        <v>869</v>
      </c>
      <c r="G144" s="241" t="s">
        <v>870</v>
      </c>
    </row>
    <row r="145" spans="1:8" x14ac:dyDescent="0.3">
      <c r="A145" s="75" t="s">
        <v>36</v>
      </c>
      <c r="B145" s="70">
        <v>3749</v>
      </c>
      <c r="C145" s="50">
        <v>1.2053189642423112E-2</v>
      </c>
      <c r="D145" s="52">
        <v>14781</v>
      </c>
      <c r="E145" s="50">
        <v>1.1211274229087419E-2</v>
      </c>
      <c r="F145" s="51">
        <v>107.50954259196837</v>
      </c>
      <c r="G145" s="47">
        <v>7.5095425919683692</v>
      </c>
    </row>
    <row r="146" spans="1:8" x14ac:dyDescent="0.3">
      <c r="A146" s="75" t="s">
        <v>37</v>
      </c>
      <c r="B146" s="70">
        <v>9174</v>
      </c>
      <c r="C146" s="44">
        <v>2.9494788418135406E-2</v>
      </c>
      <c r="D146" s="52">
        <v>47604</v>
      </c>
      <c r="E146" s="44">
        <v>3.6107265976691533E-2</v>
      </c>
      <c r="F146" s="51">
        <v>81.686573658540894</v>
      </c>
      <c r="G146" s="47">
        <v>-18.313426341459106</v>
      </c>
    </row>
    <row r="147" spans="1:8" x14ac:dyDescent="0.3">
      <c r="A147" s="75" t="s">
        <v>38</v>
      </c>
      <c r="B147" s="70">
        <v>4708</v>
      </c>
      <c r="C147" s="44">
        <v>1.5136414200194188E-2</v>
      </c>
      <c r="D147" s="52">
        <v>19227</v>
      </c>
      <c r="E147" s="44">
        <v>1.4583530857361736E-2</v>
      </c>
      <c r="F147" s="51">
        <v>103.79114871590482</v>
      </c>
      <c r="G147" s="47">
        <v>3.7911487159048249</v>
      </c>
    </row>
    <row r="148" spans="1:8" x14ac:dyDescent="0.3">
      <c r="A148" s="75" t="s">
        <v>39</v>
      </c>
      <c r="B148" s="70">
        <v>43</v>
      </c>
      <c r="C148" s="44">
        <v>1.3824677370610666E-4</v>
      </c>
      <c r="D148" s="52">
        <v>346</v>
      </c>
      <c r="E148" s="44">
        <v>2.6243832509737142E-4</v>
      </c>
      <c r="F148" s="51">
        <v>52.677814360693517</v>
      </c>
      <c r="G148" s="47">
        <v>-47.322185639306483</v>
      </c>
    </row>
    <row r="149" spans="1:8" x14ac:dyDescent="0.3">
      <c r="A149" s="75" t="s">
        <v>40</v>
      </c>
      <c r="B149" s="70">
        <v>684</v>
      </c>
      <c r="C149" s="44">
        <v>2.1990882143017895E-3</v>
      </c>
      <c r="D149" s="52">
        <v>4739</v>
      </c>
      <c r="E149" s="44">
        <v>3.5944948631111079E-3</v>
      </c>
      <c r="F149" s="51">
        <v>61.179339463527128</v>
      </c>
      <c r="G149" s="47">
        <v>-38.820660536472872</v>
      </c>
    </row>
    <row r="150" spans="1:8" x14ac:dyDescent="0.3">
      <c r="A150" s="75" t="s">
        <v>41</v>
      </c>
      <c r="B150" s="70">
        <v>5516</v>
      </c>
      <c r="C150" s="44">
        <v>1.7734167529369401E-2</v>
      </c>
      <c r="D150" s="52">
        <v>20493</v>
      </c>
      <c r="E150" s="44">
        <v>1.5543782070001252E-2</v>
      </c>
      <c r="F150" s="51">
        <v>114.09171493465216</v>
      </c>
      <c r="G150" s="47">
        <v>14.09171493465216</v>
      </c>
    </row>
    <row r="151" spans="1:8" x14ac:dyDescent="0.3">
      <c r="A151" s="75" t="s">
        <v>42</v>
      </c>
      <c r="B151" s="70">
        <v>3674</v>
      </c>
      <c r="C151" s="44">
        <v>1.1812061548749671E-2</v>
      </c>
      <c r="D151" s="52">
        <v>9662</v>
      </c>
      <c r="E151" s="44">
        <v>7.3285523037306443E-3</v>
      </c>
      <c r="F151" s="51">
        <v>161.17864837693347</v>
      </c>
      <c r="G151" s="47">
        <v>61.178648376933467</v>
      </c>
    </row>
    <row r="152" spans="1:8" x14ac:dyDescent="0.3">
      <c r="A152" s="75" t="s">
        <v>43</v>
      </c>
      <c r="B152" s="77">
        <v>3087</v>
      </c>
      <c r="C152" s="44">
        <v>9.9248323355988662E-3</v>
      </c>
      <c r="D152" s="52">
        <v>13824</v>
      </c>
      <c r="E152" s="44">
        <v>1.0485397127589778E-2</v>
      </c>
      <c r="F152" s="51">
        <v>94.653852542066133</v>
      </c>
      <c r="G152" s="47">
        <v>-5.346147457933867</v>
      </c>
    </row>
    <row r="153" spans="1:8" x14ac:dyDescent="0.3">
      <c r="A153" s="75" t="s">
        <v>44</v>
      </c>
      <c r="B153" s="77">
        <v>2406</v>
      </c>
      <c r="C153" s="44">
        <v>7.7353892450440142E-3</v>
      </c>
      <c r="D153" s="52">
        <v>8772</v>
      </c>
      <c r="E153" s="44">
        <v>6.6534941842605272E-3</v>
      </c>
      <c r="F153" s="51">
        <v>116.26055469234215</v>
      </c>
      <c r="G153" s="47">
        <v>16.260554692342154</v>
      </c>
    </row>
    <row r="154" spans="1:8" x14ac:dyDescent="0.3">
      <c r="A154" s="75" t="s">
        <v>45</v>
      </c>
      <c r="B154" s="70">
        <v>8645</v>
      </c>
      <c r="C154" s="44">
        <v>2.7794031597425394E-2</v>
      </c>
      <c r="D154" s="52">
        <v>40652</v>
      </c>
      <c r="E154" s="44">
        <v>3.0834227722133942E-2</v>
      </c>
      <c r="F154" s="51">
        <v>90.140190465914657</v>
      </c>
      <c r="G154" s="47">
        <v>-9.8598095340853433</v>
      </c>
    </row>
    <row r="155" spans="1:8" x14ac:dyDescent="0.3">
      <c r="A155" s="76" t="s">
        <v>46</v>
      </c>
      <c r="B155" s="72">
        <v>5667</v>
      </c>
      <c r="C155" s="55">
        <v>1.8219638757965263E-2</v>
      </c>
      <c r="D155" s="52">
        <v>19710</v>
      </c>
      <c r="E155" s="55">
        <v>1.4949882623321361E-2</v>
      </c>
      <c r="F155" s="51">
        <v>121.87145021154335</v>
      </c>
      <c r="G155" s="47">
        <v>21.871450211543348</v>
      </c>
    </row>
    <row r="156" spans="1:8" x14ac:dyDescent="0.3">
      <c r="A156" s="64" t="s">
        <v>395</v>
      </c>
      <c r="B156" s="229">
        <v>311038</v>
      </c>
      <c r="C156" s="228"/>
      <c r="D156" s="227">
        <v>1318405</v>
      </c>
      <c r="E156" s="228"/>
      <c r="F156" s="60"/>
      <c r="G156" s="48"/>
    </row>
    <row r="157" spans="1:8" ht="15" customHeight="1" x14ac:dyDescent="0.3">
      <c r="A157" s="45"/>
      <c r="B157" s="45"/>
      <c r="C157" s="45"/>
      <c r="D157" s="45"/>
      <c r="E157" s="45"/>
      <c r="F157" s="45"/>
      <c r="G157" s="45"/>
    </row>
    <row r="158" spans="1:8" ht="15" customHeight="1" x14ac:dyDescent="0.3">
      <c r="A158" s="21" t="s">
        <v>416</v>
      </c>
      <c r="B158" s="9"/>
      <c r="C158" s="9"/>
      <c r="D158" s="9"/>
      <c r="E158" s="9"/>
      <c r="F158" s="9"/>
      <c r="G158" s="3"/>
    </row>
    <row r="159" spans="1:8" ht="39.950000000000003" customHeight="1" x14ac:dyDescent="0.3">
      <c r="A159" s="254" t="s">
        <v>417</v>
      </c>
      <c r="B159" s="230" t="s">
        <v>888</v>
      </c>
      <c r="C159" s="246" t="s">
        <v>888</v>
      </c>
      <c r="D159" s="230" t="s">
        <v>889</v>
      </c>
      <c r="E159" s="231" t="s">
        <v>889</v>
      </c>
      <c r="F159" s="238" t="s">
        <v>1</v>
      </c>
      <c r="G159" s="239" t="s">
        <v>1</v>
      </c>
      <c r="H159" s="109"/>
    </row>
    <row r="160" spans="1:8" x14ac:dyDescent="0.3">
      <c r="A160" s="242" t="s">
        <v>871</v>
      </c>
      <c r="B160" s="37" t="s">
        <v>74</v>
      </c>
      <c r="C160" s="38" t="s">
        <v>75</v>
      </c>
      <c r="D160" s="36" t="s">
        <v>74</v>
      </c>
      <c r="E160" s="38" t="s">
        <v>75</v>
      </c>
      <c r="F160" s="240" t="s">
        <v>869</v>
      </c>
      <c r="G160" s="241" t="s">
        <v>870</v>
      </c>
    </row>
    <row r="161" spans="1:7" x14ac:dyDescent="0.3">
      <c r="A161" s="75" t="s">
        <v>396</v>
      </c>
      <c r="B161" s="70">
        <v>1395</v>
      </c>
      <c r="C161" s="50">
        <v>4.4849825423260176E-3</v>
      </c>
      <c r="D161" s="52">
        <v>5581</v>
      </c>
      <c r="E161" s="50">
        <v>4.2331453536659826E-3</v>
      </c>
      <c r="F161" s="51">
        <v>105.94917413931793</v>
      </c>
      <c r="G161" s="47">
        <v>5.9491741393179325</v>
      </c>
    </row>
    <row r="162" spans="1:7" x14ac:dyDescent="0.3">
      <c r="A162" s="75" t="s">
        <v>397</v>
      </c>
      <c r="B162" s="70">
        <v>187</v>
      </c>
      <c r="C162" s="44">
        <v>6.0121271355911496E-4</v>
      </c>
      <c r="D162" s="52">
        <v>524</v>
      </c>
      <c r="E162" s="44">
        <v>3.9744994899139493E-4</v>
      </c>
      <c r="F162" s="51">
        <v>151.26752817173758</v>
      </c>
      <c r="G162" s="47">
        <v>51.267528171737581</v>
      </c>
    </row>
    <row r="163" spans="1:7" x14ac:dyDescent="0.3">
      <c r="A163" s="75" t="s">
        <v>398</v>
      </c>
      <c r="B163" s="70">
        <v>411</v>
      </c>
      <c r="C163" s="44">
        <v>1.3213819533304612E-3</v>
      </c>
      <c r="D163" s="52">
        <v>1612</v>
      </c>
      <c r="E163" s="44">
        <v>1.2226895377368866E-3</v>
      </c>
      <c r="F163" s="51">
        <v>108.07174777795574</v>
      </c>
      <c r="G163" s="47">
        <v>8.0717477779557356</v>
      </c>
    </row>
    <row r="164" spans="1:7" x14ac:dyDescent="0.3">
      <c r="A164" s="75" t="s">
        <v>399</v>
      </c>
      <c r="B164" s="70">
        <v>75</v>
      </c>
      <c r="C164" s="44">
        <v>2.4112809367344182E-4</v>
      </c>
      <c r="D164" s="52">
        <v>175</v>
      </c>
      <c r="E164" s="44">
        <v>1.3273614708682083E-4</v>
      </c>
      <c r="F164" s="51">
        <v>181.65970533687658</v>
      </c>
      <c r="G164" s="47">
        <v>81.659705336876584</v>
      </c>
    </row>
    <row r="165" spans="1:7" x14ac:dyDescent="0.3">
      <c r="A165" s="75" t="s">
        <v>400</v>
      </c>
      <c r="B165" s="70">
        <v>7762</v>
      </c>
      <c r="C165" s="44">
        <v>2.4955150174576741E-2</v>
      </c>
      <c r="D165" s="52">
        <v>41759</v>
      </c>
      <c r="E165" s="44">
        <v>3.1673878663991718E-2</v>
      </c>
      <c r="F165" s="51">
        <v>78.787793687379605</v>
      </c>
      <c r="G165" s="47">
        <v>-21.212206312620395</v>
      </c>
    </row>
    <row r="166" spans="1:7" x14ac:dyDescent="0.3">
      <c r="A166" s="75" t="s">
        <v>401</v>
      </c>
      <c r="B166" s="70">
        <v>2061</v>
      </c>
      <c r="C166" s="44">
        <v>6.6262000141461812E-3</v>
      </c>
      <c r="D166" s="52">
        <v>8006</v>
      </c>
      <c r="E166" s="44">
        <v>6.0724891061547858E-3</v>
      </c>
      <c r="F166" s="51">
        <v>109.11835160692476</v>
      </c>
      <c r="G166" s="47">
        <v>9.1183516069247617</v>
      </c>
    </row>
    <row r="167" spans="1:7" x14ac:dyDescent="0.3">
      <c r="A167" s="75" t="s">
        <v>402</v>
      </c>
      <c r="B167" s="70">
        <v>7965</v>
      </c>
      <c r="C167" s="44">
        <v>2.5607803548119524E-2</v>
      </c>
      <c r="D167" s="52">
        <v>33904</v>
      </c>
      <c r="E167" s="44">
        <v>2.5715921890466131E-2</v>
      </c>
      <c r="F167" s="51">
        <v>99.579566531555344</v>
      </c>
      <c r="G167" s="47">
        <v>-0.42043346844465646</v>
      </c>
    </row>
    <row r="168" spans="1:7" x14ac:dyDescent="0.3">
      <c r="A168" s="75" t="s">
        <v>403</v>
      </c>
      <c r="B168" s="77">
        <v>1446</v>
      </c>
      <c r="C168" s="44">
        <v>4.6489496460239586E-3</v>
      </c>
      <c r="D168" s="52">
        <v>6385</v>
      </c>
      <c r="E168" s="44">
        <v>4.842973137996291E-3</v>
      </c>
      <c r="F168" s="51">
        <v>95.993711167834249</v>
      </c>
      <c r="G168" s="47">
        <v>-4.006288832165751</v>
      </c>
    </row>
    <row r="169" spans="1:7" x14ac:dyDescent="0.3">
      <c r="A169" s="75" t="s">
        <v>404</v>
      </c>
      <c r="B169" s="77">
        <v>1822</v>
      </c>
      <c r="C169" s="44">
        <v>5.8578051556401473E-3</v>
      </c>
      <c r="D169" s="52">
        <v>10107</v>
      </c>
      <c r="E169" s="44">
        <v>7.6660813634657028E-3</v>
      </c>
      <c r="F169" s="51">
        <v>76.411987792834154</v>
      </c>
      <c r="G169" s="47">
        <v>-23.588012207165846</v>
      </c>
    </row>
    <row r="170" spans="1:7" x14ac:dyDescent="0.3">
      <c r="A170" s="75" t="s">
        <v>405</v>
      </c>
      <c r="B170" s="70">
        <v>3285</v>
      </c>
      <c r="C170" s="44">
        <v>1.0561410502896752E-2</v>
      </c>
      <c r="D170" s="52">
        <v>12650</v>
      </c>
      <c r="E170" s="44">
        <v>9.5949272037044765E-3</v>
      </c>
      <c r="F170" s="51">
        <v>110.07285702823393</v>
      </c>
      <c r="G170" s="47">
        <v>10.072857028233926</v>
      </c>
    </row>
    <row r="171" spans="1:7" x14ac:dyDescent="0.3">
      <c r="A171" s="76" t="s">
        <v>406</v>
      </c>
      <c r="B171" s="72">
        <v>6843</v>
      </c>
      <c r="C171" s="55">
        <v>2.2000527266764831E-2</v>
      </c>
      <c r="D171" s="52">
        <v>29953</v>
      </c>
      <c r="E171" s="55">
        <v>2.2719118935380252E-2</v>
      </c>
      <c r="F171" s="51">
        <v>96.837061900774842</v>
      </c>
      <c r="G171" s="47">
        <v>-3.1629380992251583</v>
      </c>
    </row>
    <row r="172" spans="1:7" x14ac:dyDescent="0.3">
      <c r="A172" s="64" t="s">
        <v>395</v>
      </c>
      <c r="B172" s="229">
        <v>311038</v>
      </c>
      <c r="C172" s="228"/>
      <c r="D172" s="227">
        <v>1318405</v>
      </c>
      <c r="E172" s="228"/>
      <c r="F172" s="60"/>
      <c r="G172" s="48"/>
    </row>
    <row r="173" spans="1:7" ht="15" customHeight="1" x14ac:dyDescent="0.3">
      <c r="A173" s="45"/>
      <c r="B173" s="45"/>
      <c r="C173" s="45"/>
      <c r="D173" s="45"/>
      <c r="E173" s="45"/>
      <c r="F173" s="45"/>
      <c r="G173" s="45"/>
    </row>
    <row r="174" spans="1:7" ht="9.75" customHeight="1" x14ac:dyDescent="0.3">
      <c r="A174" s="273" t="s">
        <v>527</v>
      </c>
      <c r="B174" s="273"/>
      <c r="C174" s="273"/>
      <c r="D174" s="273"/>
      <c r="E174" s="273"/>
      <c r="F174" s="273"/>
      <c r="G174" s="273"/>
    </row>
    <row r="175" spans="1:7" ht="9.75" customHeight="1" x14ac:dyDescent="0.3">
      <c r="A175" s="273"/>
      <c r="B175" s="273"/>
      <c r="C175" s="273"/>
      <c r="D175" s="273"/>
      <c r="E175" s="273"/>
      <c r="F175" s="273"/>
      <c r="G175" s="273"/>
    </row>
    <row r="189" spans="1:3" x14ac:dyDescent="0.3">
      <c r="A189" s="2"/>
      <c r="B189" s="2"/>
      <c r="C189" s="2"/>
    </row>
    <row r="190" spans="1:3" x14ac:dyDescent="0.3">
      <c r="A190" s="2"/>
      <c r="B190" s="2"/>
      <c r="C190" s="2"/>
    </row>
    <row r="191" spans="1:3" x14ac:dyDescent="0.3">
      <c r="A191" s="2"/>
      <c r="B191" s="2"/>
      <c r="C191" s="2"/>
    </row>
    <row r="192" spans="1:3" x14ac:dyDescent="0.3">
      <c r="A192" s="2"/>
      <c r="B192" s="2"/>
      <c r="C192" s="2"/>
    </row>
    <row r="193" spans="1:3" x14ac:dyDescent="0.3">
      <c r="A193" s="2"/>
      <c r="B193" s="2"/>
      <c r="C193" s="2"/>
    </row>
    <row r="194" spans="1:3" x14ac:dyDescent="0.3">
      <c r="A194" s="2"/>
      <c r="B194" s="2"/>
      <c r="C194" s="2"/>
    </row>
    <row r="195" spans="1:3" x14ac:dyDescent="0.3">
      <c r="A195" s="2"/>
      <c r="B195" s="2"/>
      <c r="C195" s="2"/>
    </row>
    <row r="196" spans="1:3" x14ac:dyDescent="0.3">
      <c r="A196" s="2"/>
      <c r="B196" s="2"/>
      <c r="C196" s="2"/>
    </row>
    <row r="197" spans="1:3" x14ac:dyDescent="0.3">
      <c r="A197" s="2"/>
      <c r="B197" s="2"/>
      <c r="C197" s="2"/>
    </row>
    <row r="198" spans="1:3" x14ac:dyDescent="0.3">
      <c r="A198" s="2"/>
      <c r="B198" s="2"/>
      <c r="C198" s="2"/>
    </row>
    <row r="199" spans="1:3" x14ac:dyDescent="0.3">
      <c r="A199" s="2"/>
      <c r="B199" s="2"/>
      <c r="C199" s="2"/>
    </row>
    <row r="200" spans="1:3" x14ac:dyDescent="0.3">
      <c r="A200" s="2"/>
      <c r="B200" s="2"/>
      <c r="C200" s="2"/>
    </row>
    <row r="201" spans="1:3" x14ac:dyDescent="0.3">
      <c r="A201" s="2"/>
      <c r="B201" s="2"/>
      <c r="C201" s="2"/>
    </row>
    <row r="202" spans="1:3" x14ac:dyDescent="0.3">
      <c r="A202" s="2"/>
      <c r="B202" s="2"/>
      <c r="C202" s="2"/>
    </row>
    <row r="203" spans="1:3" x14ac:dyDescent="0.3">
      <c r="A203" s="2"/>
      <c r="B203" s="2"/>
      <c r="C203" s="2"/>
    </row>
    <row r="204" spans="1:3" x14ac:dyDescent="0.3">
      <c r="A204" s="2"/>
      <c r="B204" s="2"/>
      <c r="C204" s="2"/>
    </row>
    <row r="205" spans="1:3" x14ac:dyDescent="0.3">
      <c r="A205" s="2"/>
      <c r="B205" s="2"/>
      <c r="C205" s="2"/>
    </row>
    <row r="206" spans="1:3" x14ac:dyDescent="0.3">
      <c r="A206" s="2"/>
      <c r="B206" s="2"/>
      <c r="C206" s="2"/>
    </row>
    <row r="207" spans="1:3" x14ac:dyDescent="0.3">
      <c r="A207" s="2"/>
      <c r="B207" s="2"/>
      <c r="C207" s="2"/>
    </row>
    <row r="208" spans="1:3" x14ac:dyDescent="0.3">
      <c r="A208" s="2"/>
      <c r="B208" s="2"/>
      <c r="C208" s="2"/>
    </row>
    <row r="209" spans="1:3" x14ac:dyDescent="0.3">
      <c r="A209" s="2"/>
      <c r="B209" s="2"/>
      <c r="C209" s="2"/>
    </row>
    <row r="210" spans="1:3" x14ac:dyDescent="0.3">
      <c r="A210" s="2"/>
      <c r="B210" s="2"/>
      <c r="C210" s="2"/>
    </row>
    <row r="211" spans="1:3" x14ac:dyDescent="0.3">
      <c r="A211" s="2"/>
      <c r="B211" s="2"/>
      <c r="C211" s="2"/>
    </row>
    <row r="212" spans="1:3" x14ac:dyDescent="0.3">
      <c r="A212" s="2"/>
      <c r="B212" s="2"/>
      <c r="C212" s="2"/>
    </row>
    <row r="213" spans="1:3" x14ac:dyDescent="0.3">
      <c r="A213" s="2"/>
      <c r="B213" s="2"/>
      <c r="C213" s="2"/>
    </row>
    <row r="214" spans="1:3" x14ac:dyDescent="0.3">
      <c r="A214" s="2"/>
      <c r="B214" s="2"/>
      <c r="C214" s="2"/>
    </row>
    <row r="215" spans="1:3" x14ac:dyDescent="0.3">
      <c r="A215" s="2"/>
      <c r="B215" s="2"/>
      <c r="C215" s="2"/>
    </row>
    <row r="216" spans="1:3" x14ac:dyDescent="0.3">
      <c r="A216" s="2"/>
      <c r="B216" s="2"/>
      <c r="C216" s="2"/>
    </row>
    <row r="217" spans="1:3" x14ac:dyDescent="0.3">
      <c r="A217" s="2"/>
      <c r="B217" s="2"/>
      <c r="C217" s="2"/>
    </row>
    <row r="218" spans="1:3" x14ac:dyDescent="0.3">
      <c r="A218" s="2"/>
      <c r="B218" s="2"/>
      <c r="C218" s="2"/>
    </row>
    <row r="219" spans="1:3" x14ac:dyDescent="0.3">
      <c r="A219" s="2"/>
      <c r="B219" s="2"/>
      <c r="C219" s="2"/>
    </row>
    <row r="220" spans="1:3" x14ac:dyDescent="0.3">
      <c r="A220" s="2"/>
      <c r="B220" s="2"/>
      <c r="C220" s="2"/>
    </row>
    <row r="221" spans="1:3" x14ac:dyDescent="0.3">
      <c r="A221" s="2"/>
      <c r="B221" s="2"/>
      <c r="C221" s="2"/>
    </row>
    <row r="222" spans="1:3" x14ac:dyDescent="0.3">
      <c r="A222" s="2"/>
      <c r="B222" s="2"/>
      <c r="C222" s="2"/>
    </row>
    <row r="223" spans="1:3" x14ac:dyDescent="0.3">
      <c r="A223" s="2"/>
      <c r="B223" s="2"/>
      <c r="C223" s="2"/>
    </row>
    <row r="224" spans="1:3" x14ac:dyDescent="0.3">
      <c r="A224" s="2"/>
      <c r="B224" s="2"/>
      <c r="C224" s="2"/>
    </row>
    <row r="225" spans="1:3" x14ac:dyDescent="0.3">
      <c r="A225" s="2"/>
      <c r="B225" s="2"/>
      <c r="C225" s="2"/>
    </row>
    <row r="226" spans="1:3" x14ac:dyDescent="0.3">
      <c r="A226" s="2"/>
      <c r="B226" s="2"/>
      <c r="C226" s="2"/>
    </row>
    <row r="227" spans="1:3" x14ac:dyDescent="0.3">
      <c r="A227" s="2"/>
      <c r="B227" s="2"/>
      <c r="C227" s="2"/>
    </row>
    <row r="228" spans="1:3" x14ac:dyDescent="0.3">
      <c r="A228" s="2"/>
      <c r="B228" s="2"/>
      <c r="C228" s="2"/>
    </row>
    <row r="229" spans="1:3" x14ac:dyDescent="0.3">
      <c r="A229" s="2"/>
      <c r="B229" s="2"/>
      <c r="C229" s="2"/>
    </row>
    <row r="230" spans="1:3" x14ac:dyDescent="0.3">
      <c r="A230" s="2"/>
      <c r="B230" s="2"/>
      <c r="C230" s="2"/>
    </row>
    <row r="231" spans="1:3" x14ac:dyDescent="0.3">
      <c r="A231" s="2"/>
      <c r="B231" s="2"/>
      <c r="C231" s="2"/>
    </row>
    <row r="232" spans="1:3" x14ac:dyDescent="0.3">
      <c r="A232" s="2"/>
      <c r="B232" s="2"/>
      <c r="C232" s="2"/>
    </row>
    <row r="233" spans="1:3" x14ac:dyDescent="0.3">
      <c r="A233" s="2"/>
      <c r="B233" s="2"/>
      <c r="C233" s="2"/>
    </row>
    <row r="234" spans="1:3" x14ac:dyDescent="0.3">
      <c r="A234" s="2"/>
      <c r="B234" s="2"/>
      <c r="C234" s="2"/>
    </row>
    <row r="235" spans="1:3" x14ac:dyDescent="0.3">
      <c r="A235" s="2"/>
      <c r="B235" s="2"/>
      <c r="C235" s="2"/>
    </row>
    <row r="236" spans="1:3" x14ac:dyDescent="0.3">
      <c r="A236" s="2"/>
      <c r="B236" s="2"/>
      <c r="C236" s="2"/>
    </row>
    <row r="237" spans="1:3" x14ac:dyDescent="0.3">
      <c r="A237" s="2"/>
      <c r="B237" s="2"/>
      <c r="C237" s="2"/>
    </row>
    <row r="238" spans="1:3" x14ac:dyDescent="0.3">
      <c r="A238" s="2"/>
      <c r="B238" s="2"/>
      <c r="C238" s="2"/>
    </row>
    <row r="239" spans="1:3" x14ac:dyDescent="0.3">
      <c r="A239" s="2"/>
      <c r="B239" s="2"/>
      <c r="C239" s="2"/>
    </row>
    <row r="240" spans="1:3" x14ac:dyDescent="0.3">
      <c r="A240" s="2"/>
      <c r="B240" s="2"/>
      <c r="C240" s="2"/>
    </row>
    <row r="241" spans="1:3" x14ac:dyDescent="0.3">
      <c r="A241" s="2"/>
      <c r="B241" s="2"/>
      <c r="C241" s="2"/>
    </row>
    <row r="242" spans="1:3" x14ac:dyDescent="0.3">
      <c r="A242" s="2"/>
      <c r="B242" s="2"/>
      <c r="C242" s="2"/>
    </row>
    <row r="243" spans="1:3" x14ac:dyDescent="0.3">
      <c r="A243" s="2"/>
      <c r="B243" s="2"/>
      <c r="C243" s="2"/>
    </row>
    <row r="244" spans="1:3" x14ac:dyDescent="0.3">
      <c r="A244" s="2"/>
      <c r="B244" s="2"/>
      <c r="C244" s="2"/>
    </row>
    <row r="245" spans="1:3" x14ac:dyDescent="0.3">
      <c r="A245" s="2"/>
      <c r="B245" s="2"/>
      <c r="C245" s="2"/>
    </row>
    <row r="246" spans="1:3" x14ac:dyDescent="0.3">
      <c r="A246" s="2"/>
      <c r="B246" s="2"/>
      <c r="C246" s="2"/>
    </row>
    <row r="247" spans="1:3" x14ac:dyDescent="0.3">
      <c r="A247" s="2"/>
      <c r="B247" s="2"/>
      <c r="C247" s="2"/>
    </row>
    <row r="248" spans="1:3" x14ac:dyDescent="0.3">
      <c r="A248" s="2"/>
      <c r="B248" s="2"/>
      <c r="C248" s="2"/>
    </row>
    <row r="249" spans="1:3" x14ac:dyDescent="0.3">
      <c r="A249" s="2"/>
      <c r="B249" s="2"/>
      <c r="C249" s="2"/>
    </row>
    <row r="250" spans="1:3" x14ac:dyDescent="0.3">
      <c r="A250" s="2"/>
      <c r="B250" s="2"/>
      <c r="C250" s="2"/>
    </row>
    <row r="251" spans="1:3" x14ac:dyDescent="0.3">
      <c r="A251" s="2"/>
      <c r="B251" s="2"/>
      <c r="C251" s="2"/>
    </row>
    <row r="252" spans="1:3" x14ac:dyDescent="0.3">
      <c r="A252" s="2"/>
      <c r="B252" s="2"/>
      <c r="C252" s="2"/>
    </row>
    <row r="253" spans="1:3" x14ac:dyDescent="0.3">
      <c r="A253" s="2"/>
      <c r="B253" s="2"/>
      <c r="C253" s="2"/>
    </row>
    <row r="254" spans="1:3" x14ac:dyDescent="0.3">
      <c r="A254" s="2"/>
      <c r="B254" s="2"/>
      <c r="C254" s="2"/>
    </row>
    <row r="255" spans="1:3" x14ac:dyDescent="0.3">
      <c r="A255" s="2"/>
      <c r="B255" s="2"/>
      <c r="C255" s="2"/>
    </row>
    <row r="256" spans="1:3" x14ac:dyDescent="0.3">
      <c r="A256" s="2"/>
      <c r="B256" s="2"/>
      <c r="C256" s="2"/>
    </row>
    <row r="257" spans="1:3" x14ac:dyDescent="0.3">
      <c r="A257" s="2"/>
      <c r="B257" s="2"/>
      <c r="C257" s="2"/>
    </row>
    <row r="258" spans="1:3" x14ac:dyDescent="0.3">
      <c r="A258" s="2"/>
      <c r="B258" s="2"/>
      <c r="C258" s="2"/>
    </row>
    <row r="259" spans="1:3" x14ac:dyDescent="0.3">
      <c r="A259" s="2"/>
      <c r="B259" s="2"/>
      <c r="C259" s="2"/>
    </row>
    <row r="260" spans="1:3" x14ac:dyDescent="0.3">
      <c r="A260" s="2"/>
      <c r="B260" s="2"/>
      <c r="C260" s="2"/>
    </row>
    <row r="261" spans="1:3" x14ac:dyDescent="0.3">
      <c r="A261" s="2"/>
      <c r="B261" s="2"/>
      <c r="C261" s="2"/>
    </row>
    <row r="262" spans="1:3" x14ac:dyDescent="0.3">
      <c r="A262" s="2"/>
      <c r="B262" s="2"/>
      <c r="C262" s="2"/>
    </row>
    <row r="263" spans="1:3" x14ac:dyDescent="0.3">
      <c r="A263" s="2"/>
      <c r="B263" s="2"/>
      <c r="C263" s="2"/>
    </row>
    <row r="264" spans="1:3" x14ac:dyDescent="0.3">
      <c r="A264" s="2"/>
      <c r="B264" s="2"/>
      <c r="C264" s="2"/>
    </row>
    <row r="265" spans="1:3" x14ac:dyDescent="0.3">
      <c r="A265" s="2"/>
      <c r="B265" s="2"/>
      <c r="C265" s="2"/>
    </row>
    <row r="266" spans="1:3" x14ac:dyDescent="0.3">
      <c r="A266" s="2"/>
      <c r="B266" s="2"/>
      <c r="C266" s="2"/>
    </row>
    <row r="267" spans="1:3" x14ac:dyDescent="0.3">
      <c r="A267" s="2"/>
      <c r="B267" s="2"/>
      <c r="C267" s="2"/>
    </row>
    <row r="268" spans="1:3" x14ac:dyDescent="0.3">
      <c r="A268" s="2"/>
      <c r="B268" s="2"/>
      <c r="C268" s="2"/>
    </row>
    <row r="269" spans="1:3" x14ac:dyDescent="0.3">
      <c r="A269" s="2"/>
      <c r="B269" s="2"/>
      <c r="C269" s="2"/>
    </row>
    <row r="270" spans="1:3" x14ac:dyDescent="0.3">
      <c r="A270" s="2"/>
      <c r="B270" s="2"/>
      <c r="C270" s="2"/>
    </row>
    <row r="271" spans="1:3" x14ac:dyDescent="0.3">
      <c r="A271" s="2"/>
      <c r="B271" s="2"/>
      <c r="C271" s="2"/>
    </row>
    <row r="272" spans="1:3" x14ac:dyDescent="0.3">
      <c r="A272" s="2"/>
      <c r="B272" s="2"/>
      <c r="C272" s="2"/>
    </row>
    <row r="273" spans="1:3" x14ac:dyDescent="0.3">
      <c r="A273" s="2"/>
      <c r="B273" s="2"/>
      <c r="C273" s="2"/>
    </row>
    <row r="274" spans="1:3" x14ac:dyDescent="0.3">
      <c r="A274" s="2"/>
      <c r="B274" s="2"/>
      <c r="C274" s="2"/>
    </row>
    <row r="275" spans="1:3" x14ac:dyDescent="0.3">
      <c r="A275" s="2"/>
      <c r="B275" s="2"/>
      <c r="C275" s="2"/>
    </row>
    <row r="276" spans="1:3" x14ac:dyDescent="0.3">
      <c r="A276" s="2"/>
      <c r="B276" s="2"/>
      <c r="C276" s="2"/>
    </row>
    <row r="277" spans="1:3" x14ac:dyDescent="0.3">
      <c r="A277" s="2"/>
      <c r="B277" s="2"/>
      <c r="C277" s="2"/>
    </row>
    <row r="278" spans="1:3" x14ac:dyDescent="0.3">
      <c r="A278" s="2"/>
      <c r="B278" s="2"/>
      <c r="C278" s="2"/>
    </row>
    <row r="279" spans="1:3" x14ac:dyDescent="0.3">
      <c r="A279" s="2"/>
      <c r="B279" s="2"/>
      <c r="C279" s="2"/>
    </row>
    <row r="280" spans="1:3" x14ac:dyDescent="0.3">
      <c r="A280" s="2"/>
      <c r="B280" s="2"/>
      <c r="C280" s="2"/>
    </row>
    <row r="281" spans="1:3" x14ac:dyDescent="0.3">
      <c r="A281" s="2"/>
      <c r="B281" s="2"/>
      <c r="C281" s="2"/>
    </row>
  </sheetData>
  <mergeCells count="5">
    <mergeCell ref="A174:G174"/>
    <mergeCell ref="A175:G175"/>
    <mergeCell ref="A4:G5"/>
    <mergeCell ref="A10:G10"/>
    <mergeCell ref="A12:F12"/>
  </mergeCells>
  <conditionalFormatting sqref="F16:F28">
    <cfRule type="cellIs" dxfId="31" priority="35" operator="lessThan">
      <formula>90</formula>
    </cfRule>
    <cfRule type="cellIs" dxfId="30" priority="34" operator="greaterThan">
      <formula>110</formula>
    </cfRule>
  </conditionalFormatting>
  <conditionalFormatting sqref="F34:F41">
    <cfRule type="cellIs" dxfId="29" priority="29" operator="greaterThan">
      <formula>110</formula>
    </cfRule>
    <cfRule type="cellIs" dxfId="28" priority="30" operator="lessThan">
      <formula>90</formula>
    </cfRule>
  </conditionalFormatting>
  <conditionalFormatting sqref="F47:F50">
    <cfRule type="cellIs" dxfId="27" priority="25" operator="lessThan">
      <formula>90</formula>
    </cfRule>
    <cfRule type="cellIs" dxfId="26" priority="24" operator="greaterThan">
      <formula>110</formula>
    </cfRule>
  </conditionalFormatting>
  <conditionalFormatting sqref="F56:F88">
    <cfRule type="cellIs" dxfId="25" priority="20" operator="lessThan">
      <formula>90</formula>
    </cfRule>
    <cfRule type="cellIs" dxfId="24" priority="19" operator="greaterThan">
      <formula>110</formula>
    </cfRule>
  </conditionalFormatting>
  <conditionalFormatting sqref="F94:F137">
    <cfRule type="cellIs" dxfId="23" priority="14" operator="greaterThan">
      <formula>110</formula>
    </cfRule>
    <cfRule type="cellIs" dxfId="22" priority="15" operator="lessThan">
      <formula>90</formula>
    </cfRule>
  </conditionalFormatting>
  <conditionalFormatting sqref="F145:F155">
    <cfRule type="cellIs" dxfId="21" priority="9" operator="greaterThan">
      <formula>110</formula>
    </cfRule>
    <cfRule type="cellIs" dxfId="20" priority="10" operator="lessThan">
      <formula>90</formula>
    </cfRule>
  </conditionalFormatting>
  <conditionalFormatting sqref="F161:F171">
    <cfRule type="cellIs" dxfId="19" priority="4" operator="greaterThan">
      <formula>110</formula>
    </cfRule>
    <cfRule type="cellIs" dxfId="18" priority="5" operator="lessThan">
      <formula>90</formula>
    </cfRule>
  </conditionalFormatting>
  <conditionalFormatting sqref="G16:G28">
    <cfRule type="expression" dxfId="17" priority="31">
      <formula>AND(F16&lt;=90,(E16-C16&gt;=0.05))</formula>
    </cfRule>
    <cfRule type="expression" dxfId="16" priority="32">
      <formula>AND(F16&gt;=110,(C16-E16&gt;=0.05))</formula>
    </cfRule>
    <cfRule type="dataBar" priority="33">
      <dataBar showValue="0">
        <cfvo type="num" val="-100"/>
        <cfvo type="num" val="200"/>
        <color theme="8"/>
      </dataBar>
      <extLst>
        <ext xmlns:x14="http://schemas.microsoft.com/office/spreadsheetml/2009/9/main" uri="{B025F937-C7B1-47D3-B67F-A62EFF666E3E}">
          <x14:id>{7510C6F0-A787-4BA1-A810-C50D6A94CE0D}</x14:id>
        </ext>
      </extLst>
    </cfRule>
  </conditionalFormatting>
  <conditionalFormatting sqref="G34:G41">
    <cfRule type="expression" dxfId="15" priority="26">
      <formula>AND(F34&lt;=90,(E34-C34&gt;=0.05))</formula>
    </cfRule>
    <cfRule type="expression" dxfId="14" priority="27">
      <formula>AND(F34&gt;=110,(C34-E34&gt;=0.05))</formula>
    </cfRule>
    <cfRule type="dataBar" priority="28">
      <dataBar showValue="0">
        <cfvo type="num" val="-100"/>
        <cfvo type="num" val="200"/>
        <color theme="8"/>
      </dataBar>
      <extLst>
        <ext xmlns:x14="http://schemas.microsoft.com/office/spreadsheetml/2009/9/main" uri="{B025F937-C7B1-47D3-B67F-A62EFF666E3E}">
          <x14:id>{020178C8-602D-4071-B8BA-0035C25BC2DD}</x14:id>
        </ext>
      </extLst>
    </cfRule>
  </conditionalFormatting>
  <conditionalFormatting sqref="G47:G50">
    <cfRule type="dataBar" priority="23">
      <dataBar showValue="0">
        <cfvo type="num" val="-100"/>
        <cfvo type="num" val="200"/>
        <color theme="8"/>
      </dataBar>
      <extLst>
        <ext xmlns:x14="http://schemas.microsoft.com/office/spreadsheetml/2009/9/main" uri="{B025F937-C7B1-47D3-B67F-A62EFF666E3E}">
          <x14:id>{EFBAFD71-C4CB-4004-A400-EB8062FA795C}</x14:id>
        </ext>
      </extLst>
    </cfRule>
    <cfRule type="expression" dxfId="13" priority="22">
      <formula>AND(F47&gt;=110,(C47-E47&gt;=0.05))</formula>
    </cfRule>
    <cfRule type="expression" dxfId="12" priority="21">
      <formula>AND(F47&lt;=90,(E47-C47&gt;=0.05))</formula>
    </cfRule>
  </conditionalFormatting>
  <conditionalFormatting sqref="G56:G88">
    <cfRule type="dataBar" priority="18">
      <dataBar showValue="0">
        <cfvo type="num" val="-100"/>
        <cfvo type="num" val="200"/>
        <color theme="8"/>
      </dataBar>
      <extLst>
        <ext xmlns:x14="http://schemas.microsoft.com/office/spreadsheetml/2009/9/main" uri="{B025F937-C7B1-47D3-B67F-A62EFF666E3E}">
          <x14:id>{EBF1A8D5-8176-4CE8-AED7-CF376599EE9C}</x14:id>
        </ext>
      </extLst>
    </cfRule>
    <cfRule type="expression" dxfId="11" priority="16">
      <formula>AND(F56&lt;=90,(E56-C56&gt;=0.05))</formula>
    </cfRule>
    <cfRule type="expression" dxfId="10" priority="17">
      <formula>AND(F56&gt;=110,(C56-E56&gt;=0.05))</formula>
    </cfRule>
  </conditionalFormatting>
  <conditionalFormatting sqref="G94:G137">
    <cfRule type="dataBar" priority="13">
      <dataBar showValue="0">
        <cfvo type="num" val="-100"/>
        <cfvo type="num" val="200"/>
        <color theme="8"/>
      </dataBar>
      <extLst>
        <ext xmlns:x14="http://schemas.microsoft.com/office/spreadsheetml/2009/9/main" uri="{B025F937-C7B1-47D3-B67F-A62EFF666E3E}">
          <x14:id>{EDB9624E-85CC-4902-9FB8-7B258A5096AF}</x14:id>
        </ext>
      </extLst>
    </cfRule>
    <cfRule type="expression" dxfId="9" priority="12">
      <formula>AND(F94&gt;=110,(C94-E94&gt;=0.05))</formula>
    </cfRule>
    <cfRule type="expression" dxfId="8" priority="11">
      <formula>AND(F94&lt;=90,(E94-C94&gt;=0.05))</formula>
    </cfRule>
  </conditionalFormatting>
  <conditionalFormatting sqref="G145:G155">
    <cfRule type="dataBar" priority="8">
      <dataBar showValue="0">
        <cfvo type="num" val="-100"/>
        <cfvo type="num" val="200"/>
        <color theme="8"/>
      </dataBar>
      <extLst>
        <ext xmlns:x14="http://schemas.microsoft.com/office/spreadsheetml/2009/9/main" uri="{B025F937-C7B1-47D3-B67F-A62EFF666E3E}">
          <x14:id>{F3BEA92C-189F-4519-9631-9BCA7F1045CA}</x14:id>
        </ext>
      </extLst>
    </cfRule>
    <cfRule type="expression" dxfId="7" priority="7">
      <formula>AND(F145&gt;=110,(C145-E145&gt;=0.05))</formula>
    </cfRule>
    <cfRule type="expression" dxfId="6" priority="6">
      <formula>AND(F145&lt;=90,(E145-C145&gt;=0.05))</formula>
    </cfRule>
  </conditionalFormatting>
  <conditionalFormatting sqref="G161:G171">
    <cfRule type="dataBar" priority="3">
      <dataBar showValue="0">
        <cfvo type="num" val="-100"/>
        <cfvo type="num" val="200"/>
        <color theme="8"/>
      </dataBar>
      <extLst>
        <ext xmlns:x14="http://schemas.microsoft.com/office/spreadsheetml/2009/9/main" uri="{B025F937-C7B1-47D3-B67F-A62EFF666E3E}">
          <x14:id>{494AEDCB-65B2-448E-A8B9-3B76B284FA89}</x14:id>
        </ext>
      </extLst>
    </cfRule>
    <cfRule type="expression" dxfId="5" priority="2">
      <formula>AND(F161&gt;=110,(C161-E161&gt;=0.05))</formula>
    </cfRule>
    <cfRule type="expression" dxfId="4" priority="1">
      <formula>AND(F161&lt;=90,(E161-C161&gt;=0.05))</formula>
    </cfRule>
  </conditionalFormatting>
  <pageMargins left="0.70866141732283472" right="0.70866141732283472" top="0.74803149606299213" bottom="0.74803149606299213" header="0.31496062992125984" footer="0.31496062992125984"/>
  <pageSetup paperSize="9" scale="77"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7510C6F0-A787-4BA1-A810-C50D6A94CE0D}">
            <x14:dataBar minLength="0" maxLength="100" gradient="0" direction="leftToRight">
              <x14:cfvo type="num">
                <xm:f>-100</xm:f>
              </x14:cfvo>
              <x14:cfvo type="num">
                <xm:f>200</xm:f>
              </x14:cfvo>
              <x14:negativeFillColor theme="5"/>
              <x14:axisColor theme="1"/>
            </x14:dataBar>
          </x14:cfRule>
          <xm:sqref>G16:G28</xm:sqref>
        </x14:conditionalFormatting>
        <x14:conditionalFormatting xmlns:xm="http://schemas.microsoft.com/office/excel/2006/main">
          <x14:cfRule type="dataBar" id="{020178C8-602D-4071-B8BA-0035C25BC2DD}">
            <x14:dataBar minLength="0" maxLength="100" gradient="0" direction="leftToRight">
              <x14:cfvo type="num">
                <xm:f>-100</xm:f>
              </x14:cfvo>
              <x14:cfvo type="num">
                <xm:f>200</xm:f>
              </x14:cfvo>
              <x14:negativeFillColor theme="5"/>
              <x14:axisColor theme="1"/>
            </x14:dataBar>
          </x14:cfRule>
          <xm:sqref>G34:G41</xm:sqref>
        </x14:conditionalFormatting>
        <x14:conditionalFormatting xmlns:xm="http://schemas.microsoft.com/office/excel/2006/main">
          <x14:cfRule type="dataBar" id="{EFBAFD71-C4CB-4004-A400-EB8062FA795C}">
            <x14:dataBar minLength="0" maxLength="100" gradient="0" direction="leftToRight">
              <x14:cfvo type="num">
                <xm:f>-100</xm:f>
              </x14:cfvo>
              <x14:cfvo type="num">
                <xm:f>200</xm:f>
              </x14:cfvo>
              <x14:negativeFillColor theme="5"/>
              <x14:axisColor theme="1"/>
            </x14:dataBar>
          </x14:cfRule>
          <xm:sqref>G47:G50</xm:sqref>
        </x14:conditionalFormatting>
        <x14:conditionalFormatting xmlns:xm="http://schemas.microsoft.com/office/excel/2006/main">
          <x14:cfRule type="dataBar" id="{EBF1A8D5-8176-4CE8-AED7-CF376599EE9C}">
            <x14:dataBar minLength="0" maxLength="100" gradient="0" direction="leftToRight">
              <x14:cfvo type="num">
                <xm:f>-100</xm:f>
              </x14:cfvo>
              <x14:cfvo type="num">
                <xm:f>200</xm:f>
              </x14:cfvo>
              <x14:negativeFillColor theme="5"/>
              <x14:axisColor theme="1"/>
            </x14:dataBar>
          </x14:cfRule>
          <xm:sqref>G56:G88</xm:sqref>
        </x14:conditionalFormatting>
        <x14:conditionalFormatting xmlns:xm="http://schemas.microsoft.com/office/excel/2006/main">
          <x14:cfRule type="dataBar" id="{EDB9624E-85CC-4902-9FB8-7B258A5096AF}">
            <x14:dataBar minLength="0" maxLength="100" gradient="0" direction="leftToRight">
              <x14:cfvo type="num">
                <xm:f>-100</xm:f>
              </x14:cfvo>
              <x14:cfvo type="num">
                <xm:f>200</xm:f>
              </x14:cfvo>
              <x14:negativeFillColor theme="5"/>
              <x14:axisColor theme="1"/>
            </x14:dataBar>
          </x14:cfRule>
          <xm:sqref>G94:G137</xm:sqref>
        </x14:conditionalFormatting>
        <x14:conditionalFormatting xmlns:xm="http://schemas.microsoft.com/office/excel/2006/main">
          <x14:cfRule type="dataBar" id="{F3BEA92C-189F-4519-9631-9BCA7F1045CA}">
            <x14:dataBar minLength="0" maxLength="100" gradient="0" direction="leftToRight">
              <x14:cfvo type="num">
                <xm:f>-100</xm:f>
              </x14:cfvo>
              <x14:cfvo type="num">
                <xm:f>200</xm:f>
              </x14:cfvo>
              <x14:negativeFillColor theme="5"/>
              <x14:axisColor theme="1"/>
            </x14:dataBar>
          </x14:cfRule>
          <xm:sqref>G145:G155</xm:sqref>
        </x14:conditionalFormatting>
        <x14:conditionalFormatting xmlns:xm="http://schemas.microsoft.com/office/excel/2006/main">
          <x14:cfRule type="dataBar" id="{494AEDCB-65B2-448E-A8B9-3B76B284FA89}">
            <x14:dataBar minLength="0" maxLength="100" gradient="0" direction="leftToRight">
              <x14:cfvo type="num">
                <xm:f>-100</xm:f>
              </x14:cfvo>
              <x14:cfvo type="num">
                <xm:f>200</xm:f>
              </x14:cfvo>
              <x14:negativeFillColor theme="5"/>
              <x14:axisColor theme="1"/>
            </x14:dataBar>
          </x14:cfRule>
          <xm:sqref>G161:G171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E357F-4929-4454-9906-D4CDD2690C43}">
  <sheetPr>
    <tabColor theme="1"/>
  </sheetPr>
  <dimension ref="A1:AB483"/>
  <sheetViews>
    <sheetView topLeftCell="A336" workbookViewId="0">
      <selection activeCell="Q350" sqref="Q350"/>
    </sheetView>
  </sheetViews>
  <sheetFormatPr defaultColWidth="9.140625" defaultRowHeight="15" x14ac:dyDescent="0.3"/>
  <cols>
    <col min="1" max="1" width="9.140625" style="1"/>
    <col min="2" max="2" width="9.42578125" style="1" bestFit="1" customWidth="1"/>
    <col min="3" max="16384" width="9.140625" style="1"/>
  </cols>
  <sheetData>
    <row r="1" spans="1:20" x14ac:dyDescent="0.3">
      <c r="A1" s="196" t="s">
        <v>860</v>
      </c>
      <c r="B1" s="112"/>
      <c r="C1" s="112"/>
      <c r="D1" s="112"/>
      <c r="E1" s="112"/>
      <c r="F1" s="112"/>
      <c r="G1" s="112"/>
      <c r="H1" s="112"/>
      <c r="I1" s="112"/>
      <c r="J1" s="112"/>
      <c r="K1" s="112"/>
      <c r="L1" s="112"/>
      <c r="M1" s="112"/>
      <c r="N1" s="112"/>
      <c r="O1" s="112"/>
      <c r="P1" s="112"/>
      <c r="Q1" s="112"/>
      <c r="R1" s="112"/>
      <c r="S1" s="112"/>
    </row>
    <row r="2" spans="1:20" x14ac:dyDescent="0.3">
      <c r="A2" s="197" t="s">
        <v>831</v>
      </c>
      <c r="B2" s="154" t="s">
        <v>371</v>
      </c>
      <c r="C2" s="112"/>
      <c r="D2" s="112"/>
      <c r="E2" s="112"/>
      <c r="F2" s="112"/>
      <c r="G2" s="112"/>
      <c r="H2" s="112"/>
      <c r="I2" s="112"/>
      <c r="J2" s="112"/>
      <c r="K2" s="112"/>
      <c r="L2" s="112"/>
      <c r="M2" s="112"/>
      <c r="N2" s="112"/>
      <c r="O2" s="112"/>
      <c r="P2" s="112"/>
      <c r="Q2" s="112"/>
      <c r="R2" s="112"/>
      <c r="S2" s="112"/>
    </row>
    <row r="3" spans="1:20" x14ac:dyDescent="0.3">
      <c r="A3" s="154" t="s">
        <v>372</v>
      </c>
      <c r="B3" s="112" t="s">
        <v>353</v>
      </c>
      <c r="C3" s="112" t="s">
        <v>354</v>
      </c>
      <c r="D3" s="112" t="s">
        <v>355</v>
      </c>
      <c r="E3" s="112" t="s">
        <v>356</v>
      </c>
      <c r="F3" s="112" t="s">
        <v>357</v>
      </c>
      <c r="G3" s="112" t="s">
        <v>358</v>
      </c>
      <c r="H3" s="112" t="s">
        <v>359</v>
      </c>
      <c r="I3" s="112" t="s">
        <v>358</v>
      </c>
      <c r="J3" s="112" t="s">
        <v>360</v>
      </c>
      <c r="K3" s="112" t="s">
        <v>361</v>
      </c>
      <c r="L3" s="112" t="s">
        <v>362</v>
      </c>
      <c r="M3" s="112" t="s">
        <v>363</v>
      </c>
      <c r="N3" s="112" t="s">
        <v>364</v>
      </c>
      <c r="O3" s="112" t="s">
        <v>365</v>
      </c>
      <c r="P3" s="112" t="s">
        <v>366</v>
      </c>
      <c r="Q3" s="112" t="s">
        <v>367</v>
      </c>
      <c r="R3" s="112" t="s">
        <v>368</v>
      </c>
      <c r="S3" s="112" t="s">
        <v>99</v>
      </c>
    </row>
    <row r="4" spans="1:20" x14ac:dyDescent="0.3">
      <c r="A4" s="198" t="s">
        <v>336</v>
      </c>
      <c r="B4" s="199">
        <f>SUM('Census demographics'!$C$22:$C22)-SUM('Census demographics'!$E$22:$E22)</f>
        <v>1.0721110490718999E-4</v>
      </c>
      <c r="C4" s="199"/>
      <c r="D4" s="172"/>
      <c r="E4" s="172"/>
      <c r="F4" s="172"/>
      <c r="G4" s="172"/>
      <c r="H4" s="172"/>
      <c r="I4" s="172"/>
      <c r="J4" s="172"/>
      <c r="K4" s="172"/>
      <c r="L4" s="172"/>
      <c r="M4" s="172"/>
      <c r="N4" s="172"/>
      <c r="O4" s="172"/>
      <c r="P4" s="172"/>
      <c r="Q4" s="172"/>
      <c r="R4" s="172"/>
      <c r="S4" s="172"/>
    </row>
    <row r="5" spans="1:20" x14ac:dyDescent="0.3">
      <c r="A5" s="198" t="s">
        <v>337</v>
      </c>
      <c r="B5" s="199">
        <f>SUM('Census demographics'!$C$22:$C23)-SUM('Census demographics'!$E$22:$E23)</f>
        <v>-3.6118594541215132E-3</v>
      </c>
      <c r="C5" s="199">
        <f>SUM('Census demographics'!$C$23:$C23)-SUM('Census demographics'!$E$23:$E23)</f>
        <v>-3.7190705590287171E-3</v>
      </c>
      <c r="D5" s="172"/>
      <c r="E5" s="172"/>
      <c r="F5" s="172"/>
      <c r="G5" s="172"/>
      <c r="H5" s="172"/>
      <c r="I5" s="172"/>
      <c r="J5" s="172"/>
      <c r="K5" s="172"/>
      <c r="L5" s="172"/>
      <c r="M5" s="172"/>
      <c r="N5" s="172"/>
      <c r="O5" s="172"/>
      <c r="P5" s="172"/>
      <c r="Q5" s="172"/>
      <c r="R5" s="172"/>
      <c r="S5" s="172"/>
      <c r="T5" s="200"/>
    </row>
    <row r="6" spans="1:20" x14ac:dyDescent="0.3">
      <c r="A6" s="198" t="s">
        <v>338</v>
      </c>
      <c r="B6" s="199">
        <f>SUM('Census demographics'!$C$22:$C24)-SUM('Census demographics'!$E$22:$E24)</f>
        <v>-9.9764636065997336E-3</v>
      </c>
      <c r="C6" s="199">
        <f>SUM('Census demographics'!$C$23:$C24)-SUM('Census demographics'!$E$23:$E24)</f>
        <v>-1.0083674711506938E-2</v>
      </c>
      <c r="D6" s="199">
        <f>SUM('Census demographics'!$C$24:$C24)-SUM('Census demographics'!$E$24:$E24)</f>
        <v>-6.3646041524782204E-3</v>
      </c>
      <c r="E6" s="172"/>
      <c r="F6" s="172"/>
      <c r="G6" s="172"/>
      <c r="H6" s="172"/>
      <c r="I6" s="172"/>
      <c r="J6" s="172"/>
      <c r="K6" s="172"/>
      <c r="L6" s="172"/>
      <c r="M6" s="172"/>
      <c r="N6" s="172"/>
      <c r="O6" s="172"/>
      <c r="P6" s="172"/>
      <c r="Q6" s="172"/>
      <c r="R6" s="172"/>
      <c r="S6" s="172"/>
      <c r="T6" s="200"/>
    </row>
    <row r="7" spans="1:20" x14ac:dyDescent="0.3">
      <c r="A7" s="198" t="s">
        <v>339</v>
      </c>
      <c r="B7" s="199">
        <f>SUM('Census demographics'!$C$22:$C25)-SUM('Census demographics'!$E$22:$E25)</f>
        <v>-9.4580273258609848E-4</v>
      </c>
      <c r="C7" s="199">
        <f>SUM('Census demographics'!$C$23:$C25)-SUM('Census demographics'!$E$23:$E25)</f>
        <v>-1.053013837493344E-3</v>
      </c>
      <c r="D7" s="199">
        <f>SUM('Census demographics'!$C$24:$C25)-SUM('Census demographics'!$E$24:$E25)</f>
        <v>2.666056721535387E-3</v>
      </c>
      <c r="E7" s="199">
        <f>SUM('Census demographics'!$C$25:$C25)-SUM('Census demographics'!$E$25:$E25)</f>
        <v>9.0306608740136213E-3</v>
      </c>
      <c r="F7" s="172"/>
      <c r="G7" s="172"/>
      <c r="H7" s="172"/>
      <c r="I7" s="172"/>
      <c r="J7" s="172"/>
      <c r="K7" s="172"/>
      <c r="L7" s="172"/>
      <c r="M7" s="172"/>
      <c r="N7" s="172"/>
      <c r="O7" s="172"/>
      <c r="P7" s="172"/>
      <c r="Q7" s="172"/>
      <c r="R7" s="172"/>
      <c r="S7" s="172"/>
      <c r="T7" s="200"/>
    </row>
    <row r="8" spans="1:20" x14ac:dyDescent="0.3">
      <c r="A8" s="198" t="s">
        <v>340</v>
      </c>
      <c r="B8" s="199">
        <f>SUM('Census demographics'!$C$22:$C26)-SUM('Census demographics'!$E$22:$E26)</f>
        <v>3.7139879587861635E-2</v>
      </c>
      <c r="C8" s="199">
        <f>SUM('Census demographics'!$C$23:$C26)-SUM('Census demographics'!$E$23:$E26)</f>
        <v>3.7032668482954417E-2</v>
      </c>
      <c r="D8" s="199">
        <f>SUM('Census demographics'!$C$24:$C26)-SUM('Census demographics'!$E$24:$E26)</f>
        <v>4.0751739041983148E-2</v>
      </c>
      <c r="E8" s="199">
        <f>SUM('Census demographics'!$C$25:$C26)-SUM('Census demographics'!$E$25:$E26)</f>
        <v>4.7116343194461369E-2</v>
      </c>
      <c r="F8" s="199">
        <f>SUM('Census demographics'!$C$26:$C26)-SUM('Census demographics'!$E$26:$E26)</f>
        <v>3.8085682320447761E-2</v>
      </c>
      <c r="G8" s="172"/>
      <c r="H8" s="172"/>
      <c r="I8" s="172"/>
      <c r="J8" s="172"/>
      <c r="K8" s="172"/>
      <c r="L8" s="172"/>
      <c r="M8" s="172"/>
      <c r="N8" s="172"/>
      <c r="O8" s="172"/>
      <c r="P8" s="172"/>
      <c r="Q8" s="172"/>
      <c r="R8" s="172"/>
      <c r="S8" s="172"/>
    </row>
    <row r="9" spans="1:20" x14ac:dyDescent="0.3">
      <c r="A9" s="198" t="s">
        <v>341</v>
      </c>
      <c r="B9" s="199">
        <f>SUM('Census demographics'!$C$22:$C27)-SUM('Census demographics'!$E$22:$E27)</f>
        <v>6.704157550954104E-2</v>
      </c>
      <c r="C9" s="199">
        <f>SUM('Census demographics'!$C$23:$C27)-SUM('Census demographics'!$E$23:$E27)</f>
        <v>6.6934364404633795E-2</v>
      </c>
      <c r="D9" s="199">
        <f>SUM('Census demographics'!$C$24:$C27)-SUM('Census demographics'!$E$24:$E27)</f>
        <v>7.0653434963662498E-2</v>
      </c>
      <c r="E9" s="199">
        <f>SUM('Census demographics'!$C$25:$C27)-SUM('Census demographics'!$E$25:$E27)</f>
        <v>7.7018039116140746E-2</v>
      </c>
      <c r="F9" s="199">
        <f>SUM('Census demographics'!$C$26:$C27)-SUM('Census demographics'!$E$26:$E27)</f>
        <v>6.7987378242127139E-2</v>
      </c>
      <c r="G9" s="199">
        <f>SUM('Census demographics'!$C$27:$C27)-SUM('Census demographics'!$E$27:$E27)</f>
        <v>2.9901695921679378E-2</v>
      </c>
      <c r="H9" s="172"/>
      <c r="I9" s="172"/>
      <c r="J9" s="172"/>
      <c r="K9" s="172"/>
      <c r="L9" s="172"/>
      <c r="M9" s="172"/>
      <c r="N9" s="172"/>
      <c r="O9" s="172"/>
      <c r="P9" s="172"/>
      <c r="Q9" s="172"/>
      <c r="R9" s="172"/>
      <c r="S9" s="172"/>
    </row>
    <row r="10" spans="1:20" x14ac:dyDescent="0.3">
      <c r="A10" s="198" t="s">
        <v>342</v>
      </c>
      <c r="B10" s="199">
        <f>SUM('Census demographics'!$C$22:$C28)-SUM('Census demographics'!$E$22:$E28)</f>
        <v>9.0008021036691976E-2</v>
      </c>
      <c r="C10" s="199">
        <f>SUM('Census demographics'!$C$23:$C28)-SUM('Census demographics'!$E$23:$E28)</f>
        <v>8.9900809931784731E-2</v>
      </c>
      <c r="D10" s="199">
        <f>SUM('Census demographics'!$C$24:$C28)-SUM('Census demographics'!$E$24:$E28)</f>
        <v>9.3619880490813434E-2</v>
      </c>
      <c r="E10" s="199">
        <f>SUM('Census demographics'!$C$25:$C28)-SUM('Census demographics'!$E$25:$E28)</f>
        <v>9.9984484643291682E-2</v>
      </c>
      <c r="F10" s="199">
        <f>SUM('Census demographics'!$C$26:$C28)-SUM('Census demographics'!$E$26:$E28)</f>
        <v>9.0953823769278075E-2</v>
      </c>
      <c r="G10" s="199">
        <f>SUM('Census demographics'!$C$27:$C28)-SUM('Census demographics'!$E$27:$E28)</f>
        <v>5.2868141448830314E-2</v>
      </c>
      <c r="H10" s="199">
        <f>SUM('Census demographics'!$C$28:$C28)-SUM('Census demographics'!$E$28:$E28)</f>
        <v>2.2966445527150922E-2</v>
      </c>
      <c r="I10" s="172"/>
      <c r="J10" s="172"/>
      <c r="K10" s="172"/>
      <c r="L10" s="172"/>
      <c r="M10" s="172"/>
      <c r="N10" s="172"/>
      <c r="O10" s="172"/>
      <c r="P10" s="172"/>
      <c r="Q10" s="172"/>
      <c r="R10" s="172"/>
      <c r="S10" s="172"/>
    </row>
    <row r="11" spans="1:20" x14ac:dyDescent="0.3">
      <c r="A11" s="198" t="s">
        <v>343</v>
      </c>
      <c r="B11" s="199">
        <f>SUM('Census demographics'!$C$22:$C29)-SUM('Census demographics'!$E$22:$E29)</f>
        <v>0.10220894985839113</v>
      </c>
      <c r="C11" s="199">
        <f>SUM('Census demographics'!$C$23:$C29)-SUM('Census demographics'!$E$23:$E29)</f>
        <v>0.10210173875348388</v>
      </c>
      <c r="D11" s="199">
        <f>SUM('Census demographics'!$C$24:$C29)-SUM('Census demographics'!$E$24:$E29)</f>
        <v>0.10582080931251264</v>
      </c>
      <c r="E11" s="199">
        <f>SUM('Census demographics'!$C$25:$C29)-SUM('Census demographics'!$E$25:$E29)</f>
        <v>0.11218541346499084</v>
      </c>
      <c r="F11" s="199">
        <f>SUM('Census demographics'!$C$26:$C29)-SUM('Census demographics'!$E$26:$E29)</f>
        <v>0.10315475259097723</v>
      </c>
      <c r="G11" s="199">
        <f>SUM('Census demographics'!$C$27:$C29)-SUM('Census demographics'!$E$27:$E29)</f>
        <v>6.5069070270529494E-2</v>
      </c>
      <c r="H11" s="199">
        <f>SUM('Census demographics'!$C$28:$C29)-SUM('Census demographics'!$E$28:$E29)</f>
        <v>3.5167374348850089E-2</v>
      </c>
      <c r="I11" s="199">
        <f>SUM('Census demographics'!$C$29:$C29)-SUM('Census demographics'!$E$29:$E29)</f>
        <v>1.2200928821699167E-2</v>
      </c>
      <c r="J11" s="172"/>
      <c r="K11" s="172"/>
      <c r="L11" s="172"/>
      <c r="M11" s="172"/>
      <c r="N11" s="172"/>
      <c r="O11" s="172"/>
      <c r="P11" s="172"/>
      <c r="Q11" s="172"/>
      <c r="R11" s="172"/>
      <c r="S11" s="172"/>
    </row>
    <row r="12" spans="1:20" x14ac:dyDescent="0.3">
      <c r="A12" s="198" t="s">
        <v>344</v>
      </c>
      <c r="B12" s="199">
        <f>SUM('Census demographics'!$C$22:$C30)-SUM('Census demographics'!$E$22:$E30)</f>
        <v>0.1056450481065131</v>
      </c>
      <c r="C12" s="199">
        <f>SUM('Census demographics'!$C$23:$C30)-SUM('Census demographics'!$E$23:$E30)</f>
        <v>0.10553783700160591</v>
      </c>
      <c r="D12" s="199">
        <f>SUM('Census demographics'!$C$24:$C30)-SUM('Census demographics'!$E$24:$E30)</f>
        <v>0.10925690756063466</v>
      </c>
      <c r="E12" s="199">
        <f>SUM('Census demographics'!$C$25:$C30)-SUM('Census demographics'!$E$25:$E30)</f>
        <v>0.11562151171311291</v>
      </c>
      <c r="F12" s="199">
        <f>SUM('Census demographics'!$C$26:$C30)-SUM('Census demographics'!$E$26:$E30)</f>
        <v>0.1065908508390993</v>
      </c>
      <c r="G12" s="199">
        <f>SUM('Census demographics'!$C$27:$C30)-SUM('Census demographics'!$E$27:$E30)</f>
        <v>6.8505168518651571E-2</v>
      </c>
      <c r="H12" s="199">
        <f>SUM('Census demographics'!$C$28:$C30)-SUM('Census demographics'!$E$28:$E30)</f>
        <v>3.8603472596972166E-2</v>
      </c>
      <c r="I12" s="199">
        <f>SUM('Census demographics'!$C$29:$C30)-SUM('Census demographics'!$E$29:$E30)</f>
        <v>1.563702706982123E-2</v>
      </c>
      <c r="J12" s="199">
        <f>SUM('Census demographics'!$C$30:$C30)-SUM('Census demographics'!$E$30:$E30)</f>
        <v>3.4360982481220562E-3</v>
      </c>
      <c r="K12" s="172"/>
      <c r="L12" s="172"/>
      <c r="M12" s="172"/>
      <c r="N12" s="172"/>
      <c r="O12" s="172"/>
      <c r="P12" s="172"/>
      <c r="Q12" s="172"/>
      <c r="R12" s="172"/>
      <c r="S12" s="172"/>
    </row>
    <row r="13" spans="1:20" x14ac:dyDescent="0.3">
      <c r="A13" s="198" t="s">
        <v>345</v>
      </c>
      <c r="B13" s="199">
        <f>SUM('Census demographics'!$C$22:$C31)-SUM('Census demographics'!$E$22:$E31)</f>
        <v>0.10016157338403253</v>
      </c>
      <c r="C13" s="199">
        <f>SUM('Census demographics'!$C$23:$C31)-SUM('Census demographics'!$E$23:$E31)</f>
        <v>0.10005436227912534</v>
      </c>
      <c r="D13" s="199">
        <f>SUM('Census demographics'!$C$24:$C31)-SUM('Census demographics'!$E$24:$E31)</f>
        <v>0.1037734328381541</v>
      </c>
      <c r="E13" s="199">
        <f>SUM('Census demographics'!$C$25:$C31)-SUM('Census demographics'!$E$25:$E31)</f>
        <v>0.1101380369906324</v>
      </c>
      <c r="F13" s="199">
        <f>SUM('Census demographics'!$C$26:$C31)-SUM('Census demographics'!$E$26:$E31)</f>
        <v>0.1011073761166188</v>
      </c>
      <c r="G13" s="199">
        <f>SUM('Census demographics'!$C$27:$C31)-SUM('Census demographics'!$E$27:$E31)</f>
        <v>6.3021693796171063E-2</v>
      </c>
      <c r="H13" s="199">
        <f>SUM('Census demographics'!$C$28:$C31)-SUM('Census demographics'!$E$28:$E31)</f>
        <v>3.3119997874491658E-2</v>
      </c>
      <c r="I13" s="199">
        <f>SUM('Census demographics'!$C$29:$C31)-SUM('Census demographics'!$E$29:$E31)</f>
        <v>1.0153552347340722E-2</v>
      </c>
      <c r="J13" s="199">
        <f>SUM('Census demographics'!$C$30:$C31)-SUM('Census demographics'!$E$30:$E31)</f>
        <v>-2.0473764743584727E-3</v>
      </c>
      <c r="K13" s="199">
        <f>SUM('Census demographics'!$C$31:$C31)-SUM('Census demographics'!$E$31:$E31)</f>
        <v>-5.4834747224805289E-3</v>
      </c>
      <c r="L13" s="172"/>
      <c r="M13" s="172"/>
      <c r="N13" s="172"/>
      <c r="O13" s="172"/>
      <c r="P13" s="172"/>
      <c r="Q13" s="172"/>
      <c r="R13" s="172"/>
      <c r="S13" s="172"/>
    </row>
    <row r="14" spans="1:20" x14ac:dyDescent="0.3">
      <c r="A14" s="198" t="s">
        <v>346</v>
      </c>
      <c r="B14" s="199">
        <f>SUM('Census demographics'!$C$22:$C32)-SUM('Census demographics'!$E$22:$E32)</f>
        <v>8.8111783248491671E-2</v>
      </c>
      <c r="C14" s="199">
        <f>SUM('Census demographics'!$C$23:$C32)-SUM('Census demographics'!$E$23:$E32)</f>
        <v>8.8004572143584481E-2</v>
      </c>
      <c r="D14" s="199">
        <f>SUM('Census demographics'!$C$24:$C32)-SUM('Census demographics'!$E$24:$E32)</f>
        <v>9.1723642702613239E-2</v>
      </c>
      <c r="E14" s="199">
        <f>SUM('Census demographics'!$C$25:$C32)-SUM('Census demographics'!$E$25:$E32)</f>
        <v>9.8088246855091543E-2</v>
      </c>
      <c r="F14" s="199">
        <f>SUM('Census demographics'!$C$26:$C32)-SUM('Census demographics'!$E$26:$E32)</f>
        <v>8.9057585981077936E-2</v>
      </c>
      <c r="G14" s="199">
        <f>SUM('Census demographics'!$C$27:$C32)-SUM('Census demographics'!$E$27:$E32)</f>
        <v>5.0971903660630202E-2</v>
      </c>
      <c r="H14" s="199">
        <f>SUM('Census demographics'!$C$28:$C32)-SUM('Census demographics'!$E$28:$E32)</f>
        <v>2.1070207738950797E-2</v>
      </c>
      <c r="I14" s="199">
        <f>SUM('Census demographics'!$C$29:$C32)-SUM('Census demographics'!$E$29:$E32)</f>
        <v>-1.8962377882001391E-3</v>
      </c>
      <c r="J14" s="199">
        <f>SUM('Census demographics'!$C$30:$C32)-SUM('Census demographics'!$E$30:$E32)</f>
        <v>-1.4097166609899348E-2</v>
      </c>
      <c r="K14" s="199">
        <f>SUM('Census demographics'!$C$31:$C32)-SUM('Census demographics'!$E$31:$E32)</f>
        <v>-1.7533264858021397E-2</v>
      </c>
      <c r="L14" s="199">
        <f>SUM('Census demographics'!$C$32:$C32)-SUM('Census demographics'!$E$32:$E32)</f>
        <v>-1.2049790135540868E-2</v>
      </c>
      <c r="M14" s="172"/>
      <c r="N14" s="172"/>
      <c r="O14" s="172"/>
      <c r="P14" s="172"/>
      <c r="Q14" s="172"/>
      <c r="R14" s="172"/>
      <c r="S14" s="172"/>
    </row>
    <row r="15" spans="1:20" x14ac:dyDescent="0.3">
      <c r="A15" s="198" t="s">
        <v>347</v>
      </c>
      <c r="B15" s="199">
        <f>SUM('Census demographics'!$C$22:$C33)-SUM('Census demographics'!$E$22:$E33)</f>
        <v>7.3715416367464259E-2</v>
      </c>
      <c r="C15" s="199">
        <f>SUM('Census demographics'!$C$23:$C33)-SUM('Census demographics'!$E$23:$E33)</f>
        <v>7.3608205262557069E-2</v>
      </c>
      <c r="D15" s="199">
        <f>SUM('Census demographics'!$C$24:$C33)-SUM('Census demographics'!$E$24:$E33)</f>
        <v>7.7327275821585939E-2</v>
      </c>
      <c r="E15" s="199">
        <f>SUM('Census demographics'!$C$25:$C33)-SUM('Census demographics'!$E$25:$E33)</f>
        <v>8.3691879974064243E-2</v>
      </c>
      <c r="F15" s="199">
        <f>SUM('Census demographics'!$C$26:$C33)-SUM('Census demographics'!$E$26:$E33)</f>
        <v>7.4661219100050524E-2</v>
      </c>
      <c r="G15" s="199">
        <f>SUM('Census demographics'!$C$27:$C33)-SUM('Census demographics'!$E$27:$E33)</f>
        <v>3.6575536779602846E-2</v>
      </c>
      <c r="H15" s="199">
        <f>SUM('Census demographics'!$C$28:$C33)-SUM('Census demographics'!$E$28:$E33)</f>
        <v>6.6738408579234965E-3</v>
      </c>
      <c r="I15" s="199">
        <f>SUM('Census demographics'!$C$29:$C33)-SUM('Census demographics'!$E$29:$E33)</f>
        <v>-1.629260466922744E-2</v>
      </c>
      <c r="J15" s="199">
        <f>SUM('Census demographics'!$C$30:$C33)-SUM('Census demographics'!$E$30:$E33)</f>
        <v>-2.8493533490926704E-2</v>
      </c>
      <c r="K15" s="199">
        <f>SUM('Census demographics'!$C$31:$C33)-SUM('Census demographics'!$E$31:$E33)</f>
        <v>-3.1929631739048725E-2</v>
      </c>
      <c r="L15" s="199">
        <f>SUM('Census demographics'!$C$32:$C33)-SUM('Census demographics'!$E$32:$E33)</f>
        <v>-2.6446157016568175E-2</v>
      </c>
      <c r="M15" s="199">
        <f>SUM('Census demographics'!$C$33:$C33)-SUM('Census demographics'!$E$33:$E33)</f>
        <v>-1.4396366881027321E-2</v>
      </c>
      <c r="N15" s="172"/>
      <c r="O15" s="172"/>
      <c r="P15" s="172"/>
      <c r="Q15" s="172"/>
      <c r="R15" s="172"/>
      <c r="S15" s="172"/>
    </row>
    <row r="16" spans="1:20" x14ac:dyDescent="0.3">
      <c r="A16" s="198" t="s">
        <v>348</v>
      </c>
      <c r="B16" s="199">
        <f>SUM('Census demographics'!$C$22:$C34)-SUM('Census demographics'!$E$22:$E34)</f>
        <v>6.06548010880259E-2</v>
      </c>
      <c r="C16" s="199">
        <f>SUM('Census demographics'!$C$23:$C34)-SUM('Census demographics'!$E$23:$E34)</f>
        <v>6.054758998311871E-2</v>
      </c>
      <c r="D16" s="199">
        <f>SUM('Census demographics'!$C$24:$C34)-SUM('Census demographics'!$E$24:$E34)</f>
        <v>6.426666054214758E-2</v>
      </c>
      <c r="E16" s="199">
        <f>SUM('Census demographics'!$C$25:$C34)-SUM('Census demographics'!$E$25:$E34)</f>
        <v>7.0631264694625884E-2</v>
      </c>
      <c r="F16" s="199">
        <f>SUM('Census demographics'!$C$26:$C34)-SUM('Census demographics'!$E$26:$E34)</f>
        <v>6.1600603820612165E-2</v>
      </c>
      <c r="G16" s="199">
        <f>SUM('Census demographics'!$C$27:$C34)-SUM('Census demographics'!$E$27:$E34)</f>
        <v>2.3514921500164432E-2</v>
      </c>
      <c r="H16" s="199">
        <f>SUM('Census demographics'!$C$28:$C34)-SUM('Census demographics'!$E$28:$E34)</f>
        <v>-6.3867744215148625E-3</v>
      </c>
      <c r="I16" s="199">
        <f>SUM('Census demographics'!$C$29:$C34)-SUM('Census demographics'!$E$29:$E34)</f>
        <v>-2.9353219948665799E-2</v>
      </c>
      <c r="J16" s="199">
        <f>SUM('Census demographics'!$C$30:$C34)-SUM('Census demographics'!$E$30:$E34)</f>
        <v>-4.1554148770365062E-2</v>
      </c>
      <c r="K16" s="199">
        <f>SUM('Census demographics'!$C$31:$C34)-SUM('Census demographics'!$E$31:$E34)</f>
        <v>-4.4990247018487112E-2</v>
      </c>
      <c r="L16" s="199">
        <f>SUM('Census demographics'!$C$32:$C34)-SUM('Census demographics'!$E$32:$E34)</f>
        <v>-3.9506772296006548E-2</v>
      </c>
      <c r="M16" s="199">
        <f>SUM('Census demographics'!$C$33:$C34)-SUM('Census demographics'!$E$33:$E34)</f>
        <v>-2.7456982160465701E-2</v>
      </c>
      <c r="N16" s="199">
        <f>SUM('Census demographics'!$C$34:$C34)-SUM('Census demographics'!$E$34:$E34)</f>
        <v>-1.3060615279438373E-2</v>
      </c>
      <c r="O16" s="172"/>
      <c r="P16" s="172"/>
      <c r="Q16" s="172"/>
      <c r="R16" s="172"/>
      <c r="S16" s="172"/>
    </row>
    <row r="17" spans="1:20" x14ac:dyDescent="0.3">
      <c r="A17" s="198" t="s">
        <v>349</v>
      </c>
      <c r="B17" s="199">
        <f>SUM('Census demographics'!$C$22:$C35)-SUM('Census demographics'!$E$22:$E35)</f>
        <v>4.7948266392049521E-2</v>
      </c>
      <c r="C17" s="199">
        <f>SUM('Census demographics'!$C$23:$C35)-SUM('Census demographics'!$E$23:$E35)</f>
        <v>4.7841055287142331E-2</v>
      </c>
      <c r="D17" s="199">
        <f>SUM('Census demographics'!$C$24:$C35)-SUM('Census demographics'!$E$24:$E35)</f>
        <v>5.1560125846171201E-2</v>
      </c>
      <c r="E17" s="199">
        <f>SUM('Census demographics'!$C$25:$C35)-SUM('Census demographics'!$E$25:$E35)</f>
        <v>5.7924729998649505E-2</v>
      </c>
      <c r="F17" s="199">
        <f>SUM('Census demographics'!$C$26:$C35)-SUM('Census demographics'!$E$26:$E35)</f>
        <v>4.8894069124635786E-2</v>
      </c>
      <c r="G17" s="199">
        <f>SUM('Census demographics'!$C$27:$C35)-SUM('Census demographics'!$E$27:$E35)</f>
        <v>1.0808386804187942E-2</v>
      </c>
      <c r="H17" s="199">
        <f>SUM('Census demographics'!$C$28:$C35)-SUM('Census demographics'!$E$28:$E35)</f>
        <v>-1.9093309117491242E-2</v>
      </c>
      <c r="I17" s="199">
        <f>SUM('Census demographics'!$C$29:$C35)-SUM('Census demographics'!$E$29:$E35)</f>
        <v>-4.2059754644642178E-2</v>
      </c>
      <c r="J17" s="199">
        <f>SUM('Census demographics'!$C$30:$C35)-SUM('Census demographics'!$E$30:$E35)</f>
        <v>-5.4260683466341442E-2</v>
      </c>
      <c r="K17" s="199">
        <f>SUM('Census demographics'!$C$31:$C35)-SUM('Census demographics'!$E$31:$E35)</f>
        <v>-5.7696781714463463E-2</v>
      </c>
      <c r="L17" s="199">
        <f>SUM('Census demographics'!$C$32:$C35)-SUM('Census demographics'!$E$32:$E35)</f>
        <v>-5.2213306991982927E-2</v>
      </c>
      <c r="M17" s="199">
        <f>SUM('Census demographics'!$C$33:$C35)-SUM('Census demographics'!$E$33:$E35)</f>
        <v>-4.0163516856442094E-2</v>
      </c>
      <c r="N17" s="199">
        <f>SUM('Census demographics'!$C$34:$C35)-SUM('Census demographics'!$E$34:$E35)</f>
        <v>-2.5767149975414766E-2</v>
      </c>
      <c r="O17" s="199">
        <f>SUM('Census demographics'!$C$35:$C35)-SUM('Census demographics'!$E$35:$E35)</f>
        <v>-1.2706534695976386E-2</v>
      </c>
      <c r="P17" s="172"/>
      <c r="Q17" s="172"/>
      <c r="R17" s="172"/>
      <c r="S17" s="172"/>
    </row>
    <row r="18" spans="1:20" x14ac:dyDescent="0.3">
      <c r="A18" s="198" t="s">
        <v>350</v>
      </c>
      <c r="B18" s="199">
        <f>SUM('Census demographics'!$C$22:$C36)-SUM('Census demographics'!$E$22:$E36)</f>
        <v>3.1512553164225743E-2</v>
      </c>
      <c r="C18" s="199">
        <f>SUM('Census demographics'!$C$23:$C36)-SUM('Census demographics'!$E$23:$E36)</f>
        <v>3.1405342059318553E-2</v>
      </c>
      <c r="D18" s="199">
        <f>SUM('Census demographics'!$C$24:$C36)-SUM('Census demographics'!$E$24:$E36)</f>
        <v>3.5124412618347423E-2</v>
      </c>
      <c r="E18" s="199">
        <f>SUM('Census demographics'!$C$25:$C36)-SUM('Census demographics'!$E$25:$E36)</f>
        <v>4.1489016770825726E-2</v>
      </c>
      <c r="F18" s="199">
        <f>SUM('Census demographics'!$C$26:$C36)-SUM('Census demographics'!$E$26:$E36)</f>
        <v>3.2458355896812008E-2</v>
      </c>
      <c r="G18" s="199">
        <f>SUM('Census demographics'!$C$27:$C36)-SUM('Census demographics'!$E$27:$E36)</f>
        <v>-5.6273264236358367E-3</v>
      </c>
      <c r="H18" s="199">
        <f>SUM('Census demographics'!$C$28:$C36)-SUM('Census demographics'!$E$28:$E36)</f>
        <v>-3.5529022345315076E-2</v>
      </c>
      <c r="I18" s="199">
        <f>SUM('Census demographics'!$C$29:$C36)-SUM('Census demographics'!$E$29:$E36)</f>
        <v>-5.8495467872465901E-2</v>
      </c>
      <c r="J18" s="199">
        <f>SUM('Census demographics'!$C$30:$C36)-SUM('Census demographics'!$E$30:$E36)</f>
        <v>-7.0696396694165164E-2</v>
      </c>
      <c r="K18" s="199">
        <f>SUM('Census demographics'!$C$31:$C36)-SUM('Census demographics'!$E$31:$E36)</f>
        <v>-7.4132494942287186E-2</v>
      </c>
      <c r="L18" s="199">
        <f>SUM('Census demographics'!$C$32:$C36)-SUM('Census demographics'!$E$32:$E36)</f>
        <v>-6.864902021980665E-2</v>
      </c>
      <c r="M18" s="199">
        <f>SUM('Census demographics'!$C$33:$C36)-SUM('Census demographics'!$E$33:$E36)</f>
        <v>-5.6599230084265817E-2</v>
      </c>
      <c r="N18" s="199">
        <f>SUM('Census demographics'!$C$34:$C36)-SUM('Census demographics'!$E$34:$E36)</f>
        <v>-4.2202863203238489E-2</v>
      </c>
      <c r="O18" s="199">
        <f>SUM('Census demographics'!$C$35:$C36)-SUM('Census demographics'!$E$35:$E36)</f>
        <v>-2.914224792380013E-2</v>
      </c>
      <c r="P18" s="199">
        <f>SUM('Census demographics'!$C$36:$C36)-SUM('Census demographics'!$E$36:$E36)</f>
        <v>-1.6435713227823744E-2</v>
      </c>
      <c r="Q18" s="172"/>
      <c r="R18" s="172"/>
      <c r="S18" s="172"/>
    </row>
    <row r="19" spans="1:20" x14ac:dyDescent="0.3">
      <c r="A19" s="198" t="s">
        <v>351</v>
      </c>
      <c r="B19" s="199">
        <f>SUM('Census demographics'!$C$22:$C37)-SUM('Census demographics'!$E$22:$E37)</f>
        <v>1.7576569997363345E-2</v>
      </c>
      <c r="C19" s="199">
        <f>SUM('Census demographics'!$C$23:$C37)-SUM('Census demographics'!$E$23:$E37)</f>
        <v>1.7469358892456155E-2</v>
      </c>
      <c r="D19" s="199">
        <f>SUM('Census demographics'!$C$24:$C37)-SUM('Census demographics'!$E$24:$E37)</f>
        <v>2.1188429451485025E-2</v>
      </c>
      <c r="E19" s="199">
        <f>SUM('Census demographics'!$C$25:$C37)-SUM('Census demographics'!$E$25:$E37)</f>
        <v>2.7553033603963328E-2</v>
      </c>
      <c r="F19" s="199">
        <f>SUM('Census demographics'!$C$26:$C37)-SUM('Census demographics'!$E$26:$E37)</f>
        <v>1.852237272994961E-2</v>
      </c>
      <c r="G19" s="199">
        <f>SUM('Census demographics'!$C$27:$C37)-SUM('Census demographics'!$E$27:$E37)</f>
        <v>-1.9563309590498235E-2</v>
      </c>
      <c r="H19" s="199">
        <f>SUM('Census demographics'!$C$28:$C37)-SUM('Census demographics'!$E$28:$E37)</f>
        <v>-4.9465005512177473E-2</v>
      </c>
      <c r="I19" s="199">
        <f>SUM('Census demographics'!$C$29:$C37)-SUM('Census demographics'!$E$29:$E37)</f>
        <v>-7.2431451039328354E-2</v>
      </c>
      <c r="J19" s="199">
        <f>SUM('Census demographics'!$C$30:$C37)-SUM('Census demographics'!$E$30:$E37)</f>
        <v>-8.4632379861027673E-2</v>
      </c>
      <c r="K19" s="199">
        <f>SUM('Census demographics'!$C$31:$C37)-SUM('Census demographics'!$E$31:$E37)</f>
        <v>-8.8068478109149695E-2</v>
      </c>
      <c r="L19" s="199">
        <f>SUM('Census demographics'!$C$32:$C37)-SUM('Census demographics'!$E$32:$E37)</f>
        <v>-8.2585003386669159E-2</v>
      </c>
      <c r="M19" s="199">
        <f>SUM('Census demographics'!$C$33:$C37)-SUM('Census demographics'!$E$33:$E37)</f>
        <v>-7.0535213251128326E-2</v>
      </c>
      <c r="N19" s="199">
        <f>SUM('Census demographics'!$C$34:$C37)-SUM('Census demographics'!$E$34:$E37)</f>
        <v>-5.613884637010097E-2</v>
      </c>
      <c r="O19" s="199">
        <f>SUM('Census demographics'!$C$35:$C37)-SUM('Census demographics'!$E$35:$E37)</f>
        <v>-4.3078231090662625E-2</v>
      </c>
      <c r="P19" s="199">
        <f>SUM('Census demographics'!$C$36:$C37)-SUM('Census demographics'!$E$36:$E37)</f>
        <v>-3.0371696394686232E-2</v>
      </c>
      <c r="Q19" s="199">
        <f>SUM('Census demographics'!$C$37:$C37)-SUM('Census demographics'!$E$37:$E37)</f>
        <v>-1.3935983166862485E-2</v>
      </c>
      <c r="R19" s="172"/>
      <c r="S19" s="172"/>
    </row>
    <row r="20" spans="1:20" x14ac:dyDescent="0.3">
      <c r="A20" s="198" t="s">
        <v>352</v>
      </c>
      <c r="B20" s="199">
        <f>SUM('Census demographics'!$C$22:$C38)-SUM('Census demographics'!$E$22:$E38)</f>
        <v>8.4806843740100613E-3</v>
      </c>
      <c r="C20" s="199">
        <f>SUM('Census demographics'!$C$23:$C38)-SUM('Census demographics'!$E$23:$E38)</f>
        <v>8.3734732691028713E-3</v>
      </c>
      <c r="D20" s="199">
        <f>SUM('Census demographics'!$C$24:$C38)-SUM('Census demographics'!$E$24:$E38)</f>
        <v>1.2092543828131741E-2</v>
      </c>
      <c r="E20" s="199">
        <f>SUM('Census demographics'!$C$25:$C38)-SUM('Census demographics'!$E$25:$E38)</f>
        <v>1.8457147980610045E-2</v>
      </c>
      <c r="F20" s="199">
        <f>SUM('Census demographics'!$C$26:$C38)-SUM('Census demographics'!$E$26:$E38)</f>
        <v>9.4264871065963263E-3</v>
      </c>
      <c r="G20" s="199">
        <f>SUM('Census demographics'!$C$27:$C38)-SUM('Census demographics'!$E$27:$E38)</f>
        <v>-2.8659195213851518E-2</v>
      </c>
      <c r="H20" s="199">
        <f>SUM('Census demographics'!$C$28:$C38)-SUM('Census demographics'!$E$28:$E38)</f>
        <v>-5.8560891135530757E-2</v>
      </c>
      <c r="I20" s="199">
        <f>SUM('Census demographics'!$C$29:$C38)-SUM('Census demographics'!$E$29:$E38)</f>
        <v>-8.1527336662681693E-2</v>
      </c>
      <c r="J20" s="199">
        <f>SUM('Census demographics'!$C$30:$C38)-SUM('Census demographics'!$E$30:$E38)</f>
        <v>-9.3728265484381013E-2</v>
      </c>
      <c r="K20" s="199">
        <f>SUM('Census demographics'!$C$31:$C38)-SUM('Census demographics'!$E$31:$E38)</f>
        <v>-9.7164363732503034E-2</v>
      </c>
      <c r="L20" s="199">
        <f>SUM('Census demographics'!$C$32:$C38)-SUM('Census demographics'!$E$32:$E38)</f>
        <v>-9.1680889010022498E-2</v>
      </c>
      <c r="M20" s="199">
        <f>SUM('Census demographics'!$C$33:$C38)-SUM('Census demographics'!$E$33:$E38)</f>
        <v>-7.9631098874481665E-2</v>
      </c>
      <c r="N20" s="199">
        <f>SUM('Census demographics'!$C$34:$C38)-SUM('Census demographics'!$E$34:$E38)</f>
        <v>-6.5234731993454309E-2</v>
      </c>
      <c r="O20" s="199">
        <f>SUM('Census demographics'!$C$35:$C38)-SUM('Census demographics'!$E$35:$E38)</f>
        <v>-5.217411671401595E-2</v>
      </c>
      <c r="P20" s="199">
        <f>SUM('Census demographics'!$C$36:$C38)-SUM('Census demographics'!$E$36:$E38)</f>
        <v>-3.9467582018039557E-2</v>
      </c>
      <c r="Q20" s="199">
        <f>SUM('Census demographics'!$C$37:$C38)-SUM('Census demographics'!$E$37:$E38)</f>
        <v>-2.3031868790215806E-2</v>
      </c>
      <c r="R20" s="199">
        <f>SUM('Census demographics'!$C$38:$C38)-SUM('Census demographics'!$E$38:$E38)</f>
        <v>-9.0958856233533218E-3</v>
      </c>
      <c r="S20" s="172"/>
    </row>
    <row r="21" spans="1:20" x14ac:dyDescent="0.3">
      <c r="A21" s="198" t="s">
        <v>99</v>
      </c>
      <c r="B21" s="199">
        <f>SUM('Census demographics'!$C$22:$C39)-SUM('Census demographics'!$E$22:$E39)</f>
        <v>0</v>
      </c>
      <c r="C21" s="199">
        <f>SUM('Census demographics'!$C$23:$C39)-SUM('Census demographics'!$E$23:$E39)</f>
        <v>-1.0721110490718999E-4</v>
      </c>
      <c r="D21" s="199">
        <f>SUM('Census demographics'!$C$24:$C39)-SUM('Census demographics'!$E$24:$E39)</f>
        <v>3.6118594541216797E-3</v>
      </c>
      <c r="E21" s="199">
        <f>SUM('Census demographics'!$C$25:$C39)-SUM('Census demographics'!$E$25:$E39)</f>
        <v>9.9764636065999834E-3</v>
      </c>
      <c r="F21" s="199">
        <f>SUM('Census demographics'!$C$26:$C39)-SUM('Census demographics'!$E$26:$E39)</f>
        <v>9.4580273258626502E-4</v>
      </c>
      <c r="G21" s="199">
        <f>SUM('Census demographics'!$C$27:$C39)-SUM('Census demographics'!$E$27:$E39)</f>
        <v>-3.713987958786158E-2</v>
      </c>
      <c r="H21" s="199">
        <f>SUM('Census demographics'!$C$28:$C39)-SUM('Census demographics'!$E$28:$E39)</f>
        <v>-6.7041575509540818E-2</v>
      </c>
      <c r="I21" s="199">
        <f>SUM('Census demographics'!$C$29:$C39)-SUM('Census demographics'!$E$29:$E39)</f>
        <v>-9.000802103669181E-2</v>
      </c>
      <c r="J21" s="199">
        <f>SUM('Census demographics'!$C$30:$C39)-SUM('Census demographics'!$E$30:$E39)</f>
        <v>-0.10220894985839113</v>
      </c>
      <c r="K21" s="199">
        <f>SUM('Census demographics'!$C$31:$C39)-SUM('Census demographics'!$E$31:$E39)</f>
        <v>-0.10564504810651315</v>
      </c>
      <c r="L21" s="199">
        <f>SUM('Census demographics'!$C$32:$C39)-SUM('Census demographics'!$E$32:$E39)</f>
        <v>-0.10016157338403259</v>
      </c>
      <c r="M21" s="199">
        <f>SUM('Census demographics'!$C$33:$C39)-SUM('Census demographics'!$E$33:$E39)</f>
        <v>-8.8111783248491754E-2</v>
      </c>
      <c r="N21" s="199">
        <f>SUM('Census demographics'!$C$34:$C39)-SUM('Census demographics'!$E$34:$E39)</f>
        <v>-7.3715416367464398E-2</v>
      </c>
      <c r="O21" s="199">
        <f>SUM('Census demographics'!$C$35:$C39)-SUM('Census demographics'!$E$35:$E39)</f>
        <v>-6.0654801088026053E-2</v>
      </c>
      <c r="P21" s="199">
        <f>SUM('Census demographics'!$C$36:$C39)-SUM('Census demographics'!$E$36:$E39)</f>
        <v>-4.7948266392049674E-2</v>
      </c>
      <c r="Q21" s="199">
        <f>SUM('Census demographics'!$C$37:$C39)-SUM('Census demographics'!$E$37:$E39)</f>
        <v>-3.1512553164225909E-2</v>
      </c>
      <c r="R21" s="199">
        <f>SUM('Census demographics'!$C$38:$C39)-SUM('Census demographics'!$E$38:$E39)</f>
        <v>-1.7576569997363414E-2</v>
      </c>
      <c r="S21" s="199">
        <f>SUM('Census demographics'!$C$39:$C39)-SUM('Census demographics'!$E$39:$E39)</f>
        <v>-8.4806843740100994E-3</v>
      </c>
    </row>
    <row r="22" spans="1:20" x14ac:dyDescent="0.3">
      <c r="A22" s="112"/>
      <c r="B22" s="112"/>
      <c r="C22" s="172"/>
      <c r="D22" s="172"/>
      <c r="E22" s="172"/>
      <c r="F22" s="172"/>
      <c r="G22" s="172"/>
      <c r="H22" s="172"/>
      <c r="I22" s="172"/>
      <c r="J22" s="172"/>
      <c r="K22" s="172"/>
      <c r="L22" s="172"/>
      <c r="M22" s="172"/>
      <c r="N22" s="172"/>
      <c r="O22" s="172"/>
      <c r="P22" s="172"/>
      <c r="Q22" s="172"/>
      <c r="R22" s="172"/>
      <c r="S22" s="172"/>
      <c r="T22" s="200"/>
    </row>
    <row r="23" spans="1:20" x14ac:dyDescent="0.3">
      <c r="A23" s="197" t="s">
        <v>832</v>
      </c>
      <c r="B23" s="154" t="s">
        <v>371</v>
      </c>
      <c r="C23" s="112"/>
      <c r="D23" s="112"/>
      <c r="E23" s="112"/>
      <c r="F23" s="112"/>
      <c r="G23" s="112"/>
      <c r="H23" s="112"/>
      <c r="I23" s="112"/>
      <c r="J23" s="112"/>
      <c r="K23" s="112"/>
      <c r="L23" s="112"/>
      <c r="M23" s="112"/>
      <c r="N23" s="112"/>
      <c r="O23" s="112"/>
      <c r="P23" s="112"/>
      <c r="Q23" s="112"/>
      <c r="R23" s="112"/>
      <c r="S23" s="112"/>
      <c r="T23" s="200"/>
    </row>
    <row r="24" spans="1:20" x14ac:dyDescent="0.3">
      <c r="A24" s="154" t="s">
        <v>372</v>
      </c>
      <c r="B24" s="112" t="s">
        <v>353</v>
      </c>
      <c r="C24" s="112" t="s">
        <v>354</v>
      </c>
      <c r="D24" s="112" t="s">
        <v>355</v>
      </c>
      <c r="E24" s="112" t="s">
        <v>356</v>
      </c>
      <c r="F24" s="112" t="s">
        <v>357</v>
      </c>
      <c r="G24" s="112" t="s">
        <v>358</v>
      </c>
      <c r="H24" s="112" t="s">
        <v>359</v>
      </c>
      <c r="I24" s="112" t="s">
        <v>358</v>
      </c>
      <c r="J24" s="112" t="s">
        <v>360</v>
      </c>
      <c r="K24" s="112" t="s">
        <v>361</v>
      </c>
      <c r="L24" s="112" t="s">
        <v>362</v>
      </c>
      <c r="M24" s="112" t="s">
        <v>363</v>
      </c>
      <c r="N24" s="112" t="s">
        <v>364</v>
      </c>
      <c r="O24" s="112" t="s">
        <v>365</v>
      </c>
      <c r="P24" s="112" t="s">
        <v>366</v>
      </c>
      <c r="Q24" s="112" t="s">
        <v>367</v>
      </c>
      <c r="R24" s="112" t="s">
        <v>368</v>
      </c>
      <c r="S24" s="112" t="s">
        <v>99</v>
      </c>
    </row>
    <row r="25" spans="1:20" x14ac:dyDescent="0.3">
      <c r="A25" s="198" t="s">
        <v>336</v>
      </c>
      <c r="B25" s="199" t="str">
        <f t="shared" ref="B25:S25" si="0">IF(B4=MAX($B$4:$S$21),"Max",IF(B4=MIN($B$4:$S$21),"Min",""))</f>
        <v/>
      </c>
      <c r="C25" s="199" t="str">
        <f t="shared" si="0"/>
        <v/>
      </c>
      <c r="D25" s="199" t="str">
        <f t="shared" si="0"/>
        <v/>
      </c>
      <c r="E25" s="199" t="str">
        <f t="shared" si="0"/>
        <v/>
      </c>
      <c r="F25" s="199" t="str">
        <f t="shared" si="0"/>
        <v/>
      </c>
      <c r="G25" s="199" t="str">
        <f t="shared" si="0"/>
        <v/>
      </c>
      <c r="H25" s="199" t="str">
        <f t="shared" si="0"/>
        <v/>
      </c>
      <c r="I25" s="199" t="str">
        <f t="shared" si="0"/>
        <v/>
      </c>
      <c r="J25" s="199" t="str">
        <f t="shared" si="0"/>
        <v/>
      </c>
      <c r="K25" s="199" t="str">
        <f t="shared" si="0"/>
        <v/>
      </c>
      <c r="L25" s="199" t="str">
        <f t="shared" si="0"/>
        <v/>
      </c>
      <c r="M25" s="199" t="str">
        <f t="shared" si="0"/>
        <v/>
      </c>
      <c r="N25" s="199" t="str">
        <f t="shared" si="0"/>
        <v/>
      </c>
      <c r="O25" s="199" t="str">
        <f t="shared" si="0"/>
        <v/>
      </c>
      <c r="P25" s="199" t="str">
        <f t="shared" si="0"/>
        <v/>
      </c>
      <c r="Q25" s="199" t="str">
        <f t="shared" si="0"/>
        <v/>
      </c>
      <c r="R25" s="199" t="str">
        <f t="shared" si="0"/>
        <v/>
      </c>
      <c r="S25" s="199" t="str">
        <f t="shared" si="0"/>
        <v/>
      </c>
      <c r="T25" s="198" t="s">
        <v>336</v>
      </c>
    </row>
    <row r="26" spans="1:20" x14ac:dyDescent="0.3">
      <c r="A26" s="198" t="s">
        <v>337</v>
      </c>
      <c r="B26" s="199" t="str">
        <f t="shared" ref="B26:S26" si="1">IF(B5=MAX($B$4:$S$21),"Max",IF(B5=MIN($B$4:$S$21),"Min",""))</f>
        <v/>
      </c>
      <c r="C26" s="199" t="str">
        <f t="shared" si="1"/>
        <v/>
      </c>
      <c r="D26" s="199" t="str">
        <f t="shared" si="1"/>
        <v/>
      </c>
      <c r="E26" s="199" t="str">
        <f t="shared" si="1"/>
        <v/>
      </c>
      <c r="F26" s="199" t="str">
        <f t="shared" si="1"/>
        <v/>
      </c>
      <c r="G26" s="199" t="str">
        <f t="shared" si="1"/>
        <v/>
      </c>
      <c r="H26" s="199" t="str">
        <f t="shared" si="1"/>
        <v/>
      </c>
      <c r="I26" s="199" t="str">
        <f t="shared" si="1"/>
        <v/>
      </c>
      <c r="J26" s="199" t="str">
        <f t="shared" si="1"/>
        <v/>
      </c>
      <c r="K26" s="199" t="str">
        <f t="shared" si="1"/>
        <v/>
      </c>
      <c r="L26" s="199" t="str">
        <f t="shared" si="1"/>
        <v/>
      </c>
      <c r="M26" s="199" t="str">
        <f t="shared" si="1"/>
        <v/>
      </c>
      <c r="N26" s="199" t="str">
        <f t="shared" si="1"/>
        <v/>
      </c>
      <c r="O26" s="199" t="str">
        <f t="shared" si="1"/>
        <v/>
      </c>
      <c r="P26" s="199" t="str">
        <f t="shared" si="1"/>
        <v/>
      </c>
      <c r="Q26" s="199" t="str">
        <f t="shared" si="1"/>
        <v/>
      </c>
      <c r="R26" s="199" t="str">
        <f t="shared" si="1"/>
        <v/>
      </c>
      <c r="S26" s="199" t="str">
        <f t="shared" si="1"/>
        <v/>
      </c>
      <c r="T26" s="198" t="s">
        <v>337</v>
      </c>
    </row>
    <row r="27" spans="1:20" x14ac:dyDescent="0.3">
      <c r="A27" s="198" t="s">
        <v>338</v>
      </c>
      <c r="B27" s="199" t="str">
        <f t="shared" ref="B27:S27" si="2">IF(B6=MAX($B$4:$S$21),"Max",IF(B6=MIN($B$4:$S$21),"Min",""))</f>
        <v/>
      </c>
      <c r="C27" s="199" t="str">
        <f t="shared" si="2"/>
        <v/>
      </c>
      <c r="D27" s="199" t="str">
        <f t="shared" si="2"/>
        <v/>
      </c>
      <c r="E27" s="199" t="str">
        <f t="shared" si="2"/>
        <v/>
      </c>
      <c r="F27" s="199" t="str">
        <f t="shared" si="2"/>
        <v/>
      </c>
      <c r="G27" s="199" t="str">
        <f t="shared" si="2"/>
        <v/>
      </c>
      <c r="H27" s="199" t="str">
        <f t="shared" si="2"/>
        <v/>
      </c>
      <c r="I27" s="199" t="str">
        <f t="shared" si="2"/>
        <v/>
      </c>
      <c r="J27" s="199" t="str">
        <f t="shared" si="2"/>
        <v/>
      </c>
      <c r="K27" s="199" t="str">
        <f t="shared" si="2"/>
        <v/>
      </c>
      <c r="L27" s="199" t="str">
        <f t="shared" si="2"/>
        <v/>
      </c>
      <c r="M27" s="199" t="str">
        <f t="shared" si="2"/>
        <v/>
      </c>
      <c r="N27" s="199" t="str">
        <f t="shared" si="2"/>
        <v/>
      </c>
      <c r="O27" s="199" t="str">
        <f t="shared" si="2"/>
        <v/>
      </c>
      <c r="P27" s="199" t="str">
        <f t="shared" si="2"/>
        <v/>
      </c>
      <c r="Q27" s="199" t="str">
        <f t="shared" si="2"/>
        <v/>
      </c>
      <c r="R27" s="199" t="str">
        <f t="shared" si="2"/>
        <v/>
      </c>
      <c r="S27" s="199" t="str">
        <f t="shared" si="2"/>
        <v/>
      </c>
      <c r="T27" s="198" t="s">
        <v>338</v>
      </c>
    </row>
    <row r="28" spans="1:20" x14ac:dyDescent="0.3">
      <c r="A28" s="198" t="s">
        <v>339</v>
      </c>
      <c r="B28" s="199" t="str">
        <f t="shared" ref="B28:S28" si="3">IF(B7=MAX($B$4:$S$21),"Max",IF(B7=MIN($B$4:$S$21),"Min",""))</f>
        <v/>
      </c>
      <c r="C28" s="199" t="str">
        <f t="shared" si="3"/>
        <v/>
      </c>
      <c r="D28" s="199" t="str">
        <f t="shared" si="3"/>
        <v/>
      </c>
      <c r="E28" s="199" t="str">
        <f t="shared" si="3"/>
        <v/>
      </c>
      <c r="F28" s="199" t="str">
        <f t="shared" si="3"/>
        <v/>
      </c>
      <c r="G28" s="199" t="str">
        <f t="shared" si="3"/>
        <v/>
      </c>
      <c r="H28" s="199" t="str">
        <f t="shared" si="3"/>
        <v/>
      </c>
      <c r="I28" s="199" t="str">
        <f t="shared" si="3"/>
        <v/>
      </c>
      <c r="J28" s="199" t="str">
        <f t="shared" si="3"/>
        <v/>
      </c>
      <c r="K28" s="199" t="str">
        <f t="shared" si="3"/>
        <v/>
      </c>
      <c r="L28" s="199" t="str">
        <f t="shared" si="3"/>
        <v/>
      </c>
      <c r="M28" s="199" t="str">
        <f t="shared" si="3"/>
        <v/>
      </c>
      <c r="N28" s="199" t="str">
        <f t="shared" si="3"/>
        <v/>
      </c>
      <c r="O28" s="199" t="str">
        <f t="shared" si="3"/>
        <v/>
      </c>
      <c r="P28" s="199" t="str">
        <f t="shared" si="3"/>
        <v/>
      </c>
      <c r="Q28" s="199" t="str">
        <f t="shared" si="3"/>
        <v/>
      </c>
      <c r="R28" s="199" t="str">
        <f t="shared" si="3"/>
        <v/>
      </c>
      <c r="S28" s="199" t="str">
        <f t="shared" si="3"/>
        <v/>
      </c>
      <c r="T28" s="198" t="s">
        <v>339</v>
      </c>
    </row>
    <row r="29" spans="1:20" x14ac:dyDescent="0.3">
      <c r="A29" s="198" t="s">
        <v>340</v>
      </c>
      <c r="B29" s="199" t="str">
        <f t="shared" ref="B29:S29" si="4">IF(B8=MAX($B$4:$S$21),"Max",IF(B8=MIN($B$4:$S$21),"Min",""))</f>
        <v/>
      </c>
      <c r="C29" s="199" t="str">
        <f t="shared" si="4"/>
        <v/>
      </c>
      <c r="D29" s="199" t="str">
        <f t="shared" si="4"/>
        <v/>
      </c>
      <c r="E29" s="199" t="str">
        <f t="shared" si="4"/>
        <v/>
      </c>
      <c r="F29" s="199" t="str">
        <f t="shared" si="4"/>
        <v/>
      </c>
      <c r="G29" s="199" t="str">
        <f t="shared" si="4"/>
        <v/>
      </c>
      <c r="H29" s="199" t="str">
        <f t="shared" si="4"/>
        <v/>
      </c>
      <c r="I29" s="199" t="str">
        <f t="shared" si="4"/>
        <v/>
      </c>
      <c r="J29" s="199" t="str">
        <f t="shared" si="4"/>
        <v/>
      </c>
      <c r="K29" s="199" t="str">
        <f t="shared" si="4"/>
        <v/>
      </c>
      <c r="L29" s="199" t="str">
        <f t="shared" si="4"/>
        <v/>
      </c>
      <c r="M29" s="199" t="str">
        <f t="shared" si="4"/>
        <v/>
      </c>
      <c r="N29" s="199" t="str">
        <f t="shared" si="4"/>
        <v/>
      </c>
      <c r="O29" s="199" t="str">
        <f t="shared" si="4"/>
        <v/>
      </c>
      <c r="P29" s="199" t="str">
        <f t="shared" si="4"/>
        <v/>
      </c>
      <c r="Q29" s="199" t="str">
        <f t="shared" si="4"/>
        <v/>
      </c>
      <c r="R29" s="199" t="str">
        <f t="shared" si="4"/>
        <v/>
      </c>
      <c r="S29" s="199" t="str">
        <f t="shared" si="4"/>
        <v/>
      </c>
      <c r="T29" s="198" t="s">
        <v>340</v>
      </c>
    </row>
    <row r="30" spans="1:20" x14ac:dyDescent="0.3">
      <c r="A30" s="198" t="s">
        <v>341</v>
      </c>
      <c r="B30" s="199" t="str">
        <f t="shared" ref="B30:S30" si="5">IF(B9=MAX($B$4:$S$21),"Max",IF(B9=MIN($B$4:$S$21),"Min",""))</f>
        <v/>
      </c>
      <c r="C30" s="199" t="str">
        <f t="shared" si="5"/>
        <v/>
      </c>
      <c r="D30" s="199" t="str">
        <f t="shared" si="5"/>
        <v/>
      </c>
      <c r="E30" s="199" t="str">
        <f t="shared" si="5"/>
        <v/>
      </c>
      <c r="F30" s="199" t="str">
        <f t="shared" si="5"/>
        <v/>
      </c>
      <c r="G30" s="199" t="str">
        <f t="shared" si="5"/>
        <v/>
      </c>
      <c r="H30" s="199" t="str">
        <f t="shared" si="5"/>
        <v/>
      </c>
      <c r="I30" s="199" t="str">
        <f t="shared" si="5"/>
        <v/>
      </c>
      <c r="J30" s="199" t="str">
        <f t="shared" si="5"/>
        <v/>
      </c>
      <c r="K30" s="199" t="str">
        <f t="shared" si="5"/>
        <v/>
      </c>
      <c r="L30" s="199" t="str">
        <f t="shared" si="5"/>
        <v/>
      </c>
      <c r="M30" s="199" t="str">
        <f t="shared" si="5"/>
        <v/>
      </c>
      <c r="N30" s="199" t="str">
        <f t="shared" si="5"/>
        <v/>
      </c>
      <c r="O30" s="199" t="str">
        <f t="shared" si="5"/>
        <v/>
      </c>
      <c r="P30" s="199" t="str">
        <f t="shared" si="5"/>
        <v/>
      </c>
      <c r="Q30" s="199" t="str">
        <f t="shared" si="5"/>
        <v/>
      </c>
      <c r="R30" s="199" t="str">
        <f t="shared" si="5"/>
        <v/>
      </c>
      <c r="S30" s="199" t="str">
        <f t="shared" si="5"/>
        <v/>
      </c>
      <c r="T30" s="198" t="s">
        <v>341</v>
      </c>
    </row>
    <row r="31" spans="1:20" x14ac:dyDescent="0.3">
      <c r="A31" s="198" t="s">
        <v>342</v>
      </c>
      <c r="B31" s="199" t="str">
        <f t="shared" ref="B31:S31" si="6">IF(B10=MAX($B$4:$S$21),"Max",IF(B10=MIN($B$4:$S$21),"Min",""))</f>
        <v/>
      </c>
      <c r="C31" s="199" t="str">
        <f t="shared" si="6"/>
        <v/>
      </c>
      <c r="D31" s="199" t="str">
        <f t="shared" si="6"/>
        <v/>
      </c>
      <c r="E31" s="199" t="str">
        <f t="shared" si="6"/>
        <v/>
      </c>
      <c r="F31" s="199" t="str">
        <f t="shared" si="6"/>
        <v/>
      </c>
      <c r="G31" s="199" t="str">
        <f t="shared" si="6"/>
        <v/>
      </c>
      <c r="H31" s="199" t="str">
        <f t="shared" si="6"/>
        <v/>
      </c>
      <c r="I31" s="199" t="str">
        <f t="shared" si="6"/>
        <v/>
      </c>
      <c r="J31" s="199" t="str">
        <f t="shared" si="6"/>
        <v/>
      </c>
      <c r="K31" s="199" t="str">
        <f t="shared" si="6"/>
        <v/>
      </c>
      <c r="L31" s="199" t="str">
        <f t="shared" si="6"/>
        <v/>
      </c>
      <c r="M31" s="199" t="str">
        <f t="shared" si="6"/>
        <v/>
      </c>
      <c r="N31" s="199" t="str">
        <f t="shared" si="6"/>
        <v/>
      </c>
      <c r="O31" s="199" t="str">
        <f t="shared" si="6"/>
        <v/>
      </c>
      <c r="P31" s="199" t="str">
        <f t="shared" si="6"/>
        <v/>
      </c>
      <c r="Q31" s="199" t="str">
        <f t="shared" si="6"/>
        <v/>
      </c>
      <c r="R31" s="199" t="str">
        <f t="shared" si="6"/>
        <v/>
      </c>
      <c r="S31" s="199" t="str">
        <f t="shared" si="6"/>
        <v/>
      </c>
      <c r="T31" s="198" t="s">
        <v>342</v>
      </c>
    </row>
    <row r="32" spans="1:20" x14ac:dyDescent="0.3">
      <c r="A32" s="198" t="s">
        <v>343</v>
      </c>
      <c r="B32" s="199" t="str">
        <f t="shared" ref="B32:S32" si="7">IF(B11=MAX($B$4:$S$21),"Max",IF(B11=MIN($B$4:$S$21),"Min",""))</f>
        <v/>
      </c>
      <c r="C32" s="199" t="str">
        <f t="shared" si="7"/>
        <v/>
      </c>
      <c r="D32" s="199" t="str">
        <f t="shared" si="7"/>
        <v/>
      </c>
      <c r="E32" s="199" t="str">
        <f t="shared" si="7"/>
        <v/>
      </c>
      <c r="F32" s="199" t="str">
        <f t="shared" si="7"/>
        <v/>
      </c>
      <c r="G32" s="199" t="str">
        <f t="shared" si="7"/>
        <v/>
      </c>
      <c r="H32" s="199" t="str">
        <f t="shared" si="7"/>
        <v/>
      </c>
      <c r="I32" s="199" t="str">
        <f t="shared" si="7"/>
        <v/>
      </c>
      <c r="J32" s="199" t="str">
        <f t="shared" si="7"/>
        <v/>
      </c>
      <c r="K32" s="199" t="str">
        <f t="shared" si="7"/>
        <v/>
      </c>
      <c r="L32" s="199" t="str">
        <f t="shared" si="7"/>
        <v/>
      </c>
      <c r="M32" s="199" t="str">
        <f t="shared" si="7"/>
        <v/>
      </c>
      <c r="N32" s="199" t="str">
        <f t="shared" si="7"/>
        <v/>
      </c>
      <c r="O32" s="199" t="str">
        <f t="shared" si="7"/>
        <v/>
      </c>
      <c r="P32" s="199" t="str">
        <f t="shared" si="7"/>
        <v/>
      </c>
      <c r="Q32" s="199" t="str">
        <f t="shared" si="7"/>
        <v/>
      </c>
      <c r="R32" s="199" t="str">
        <f t="shared" si="7"/>
        <v/>
      </c>
      <c r="S32" s="199" t="str">
        <f t="shared" si="7"/>
        <v/>
      </c>
      <c r="T32" s="198" t="s">
        <v>343</v>
      </c>
    </row>
    <row r="33" spans="1:20" x14ac:dyDescent="0.3">
      <c r="A33" s="198" t="s">
        <v>344</v>
      </c>
      <c r="B33" s="199" t="str">
        <f t="shared" ref="B33:S33" si="8">IF(B12=MAX($B$4:$S$21),"Max",IF(B12=MIN($B$4:$S$21),"Min",""))</f>
        <v/>
      </c>
      <c r="C33" s="199" t="str">
        <f t="shared" si="8"/>
        <v/>
      </c>
      <c r="D33" s="199" t="str">
        <f t="shared" si="8"/>
        <v/>
      </c>
      <c r="E33" s="199" t="str">
        <f t="shared" si="8"/>
        <v>Max</v>
      </c>
      <c r="F33" s="199" t="str">
        <f t="shared" si="8"/>
        <v/>
      </c>
      <c r="G33" s="199" t="str">
        <f t="shared" si="8"/>
        <v/>
      </c>
      <c r="H33" s="199" t="str">
        <f t="shared" si="8"/>
        <v/>
      </c>
      <c r="I33" s="199" t="str">
        <f t="shared" si="8"/>
        <v/>
      </c>
      <c r="J33" s="199" t="str">
        <f t="shared" si="8"/>
        <v/>
      </c>
      <c r="K33" s="199" t="str">
        <f t="shared" si="8"/>
        <v/>
      </c>
      <c r="L33" s="199" t="str">
        <f t="shared" si="8"/>
        <v/>
      </c>
      <c r="M33" s="199" t="str">
        <f t="shared" si="8"/>
        <v/>
      </c>
      <c r="N33" s="199" t="str">
        <f t="shared" si="8"/>
        <v/>
      </c>
      <c r="O33" s="199" t="str">
        <f t="shared" si="8"/>
        <v/>
      </c>
      <c r="P33" s="199" t="str">
        <f t="shared" si="8"/>
        <v/>
      </c>
      <c r="Q33" s="199" t="str">
        <f t="shared" si="8"/>
        <v/>
      </c>
      <c r="R33" s="199" t="str">
        <f t="shared" si="8"/>
        <v/>
      </c>
      <c r="S33" s="199" t="str">
        <f t="shared" si="8"/>
        <v/>
      </c>
      <c r="T33" s="198" t="s">
        <v>344</v>
      </c>
    </row>
    <row r="34" spans="1:20" x14ac:dyDescent="0.3">
      <c r="A34" s="198" t="s">
        <v>345</v>
      </c>
      <c r="B34" s="199" t="str">
        <f t="shared" ref="B34:S34" si="9">IF(B13=MAX($B$4:$S$21),"Max",IF(B13=MIN($B$4:$S$21),"Min",""))</f>
        <v/>
      </c>
      <c r="C34" s="199" t="str">
        <f t="shared" si="9"/>
        <v/>
      </c>
      <c r="D34" s="199" t="str">
        <f t="shared" si="9"/>
        <v/>
      </c>
      <c r="E34" s="199" t="str">
        <f t="shared" si="9"/>
        <v/>
      </c>
      <c r="F34" s="199" t="str">
        <f t="shared" si="9"/>
        <v/>
      </c>
      <c r="G34" s="199" t="str">
        <f t="shared" si="9"/>
        <v/>
      </c>
      <c r="H34" s="199" t="str">
        <f t="shared" si="9"/>
        <v/>
      </c>
      <c r="I34" s="199" t="str">
        <f t="shared" si="9"/>
        <v/>
      </c>
      <c r="J34" s="199" t="str">
        <f t="shared" si="9"/>
        <v/>
      </c>
      <c r="K34" s="199" t="str">
        <f t="shared" si="9"/>
        <v/>
      </c>
      <c r="L34" s="199" t="str">
        <f t="shared" si="9"/>
        <v/>
      </c>
      <c r="M34" s="199" t="str">
        <f t="shared" si="9"/>
        <v/>
      </c>
      <c r="N34" s="199" t="str">
        <f t="shared" si="9"/>
        <v/>
      </c>
      <c r="O34" s="199" t="str">
        <f t="shared" si="9"/>
        <v/>
      </c>
      <c r="P34" s="199" t="str">
        <f t="shared" si="9"/>
        <v/>
      </c>
      <c r="Q34" s="199" t="str">
        <f t="shared" si="9"/>
        <v/>
      </c>
      <c r="R34" s="199" t="str">
        <f t="shared" si="9"/>
        <v/>
      </c>
      <c r="S34" s="199" t="str">
        <f t="shared" si="9"/>
        <v/>
      </c>
      <c r="T34" s="198" t="s">
        <v>345</v>
      </c>
    </row>
    <row r="35" spans="1:20" x14ac:dyDescent="0.3">
      <c r="A35" s="198" t="s">
        <v>346</v>
      </c>
      <c r="B35" s="199" t="str">
        <f t="shared" ref="B35:S35" si="10">IF(B14=MAX($B$4:$S$21),"Max",IF(B14=MIN($B$4:$S$21),"Min",""))</f>
        <v/>
      </c>
      <c r="C35" s="199" t="str">
        <f t="shared" si="10"/>
        <v/>
      </c>
      <c r="D35" s="199" t="str">
        <f t="shared" si="10"/>
        <v/>
      </c>
      <c r="E35" s="199" t="str">
        <f t="shared" si="10"/>
        <v/>
      </c>
      <c r="F35" s="199" t="str">
        <f t="shared" si="10"/>
        <v/>
      </c>
      <c r="G35" s="199" t="str">
        <f t="shared" si="10"/>
        <v/>
      </c>
      <c r="H35" s="199" t="str">
        <f t="shared" si="10"/>
        <v/>
      </c>
      <c r="I35" s="199" t="str">
        <f t="shared" si="10"/>
        <v/>
      </c>
      <c r="J35" s="199" t="str">
        <f t="shared" si="10"/>
        <v/>
      </c>
      <c r="K35" s="199" t="str">
        <f t="shared" si="10"/>
        <v/>
      </c>
      <c r="L35" s="199" t="str">
        <f t="shared" si="10"/>
        <v/>
      </c>
      <c r="M35" s="199" t="str">
        <f t="shared" si="10"/>
        <v/>
      </c>
      <c r="N35" s="199" t="str">
        <f t="shared" si="10"/>
        <v/>
      </c>
      <c r="O35" s="199" t="str">
        <f t="shared" si="10"/>
        <v/>
      </c>
      <c r="P35" s="199" t="str">
        <f t="shared" si="10"/>
        <v/>
      </c>
      <c r="Q35" s="199" t="str">
        <f t="shared" si="10"/>
        <v/>
      </c>
      <c r="R35" s="199" t="str">
        <f t="shared" si="10"/>
        <v/>
      </c>
      <c r="S35" s="199" t="str">
        <f t="shared" si="10"/>
        <v/>
      </c>
      <c r="T35" s="198" t="s">
        <v>346</v>
      </c>
    </row>
    <row r="36" spans="1:20" x14ac:dyDescent="0.3">
      <c r="A36" s="198" t="s">
        <v>347</v>
      </c>
      <c r="B36" s="199" t="str">
        <f t="shared" ref="B36:S36" si="11">IF(B15=MAX($B$4:$S$21),"Max",IF(B15=MIN($B$4:$S$21),"Min",""))</f>
        <v/>
      </c>
      <c r="C36" s="199" t="str">
        <f t="shared" si="11"/>
        <v/>
      </c>
      <c r="D36" s="199" t="str">
        <f t="shared" si="11"/>
        <v/>
      </c>
      <c r="E36" s="199" t="str">
        <f t="shared" si="11"/>
        <v/>
      </c>
      <c r="F36" s="199" t="str">
        <f t="shared" si="11"/>
        <v/>
      </c>
      <c r="G36" s="199" t="str">
        <f t="shared" si="11"/>
        <v/>
      </c>
      <c r="H36" s="199" t="str">
        <f t="shared" si="11"/>
        <v/>
      </c>
      <c r="I36" s="199" t="str">
        <f t="shared" si="11"/>
        <v/>
      </c>
      <c r="J36" s="199" t="str">
        <f t="shared" si="11"/>
        <v/>
      </c>
      <c r="K36" s="199" t="str">
        <f t="shared" si="11"/>
        <v/>
      </c>
      <c r="L36" s="199" t="str">
        <f t="shared" si="11"/>
        <v/>
      </c>
      <c r="M36" s="199" t="str">
        <f t="shared" si="11"/>
        <v/>
      </c>
      <c r="N36" s="199" t="str">
        <f t="shared" si="11"/>
        <v/>
      </c>
      <c r="O36" s="199" t="str">
        <f t="shared" si="11"/>
        <v/>
      </c>
      <c r="P36" s="199" t="str">
        <f t="shared" si="11"/>
        <v/>
      </c>
      <c r="Q36" s="199" t="str">
        <f t="shared" si="11"/>
        <v/>
      </c>
      <c r="R36" s="199" t="str">
        <f t="shared" si="11"/>
        <v/>
      </c>
      <c r="S36" s="199" t="str">
        <f t="shared" si="11"/>
        <v/>
      </c>
      <c r="T36" s="198" t="s">
        <v>347</v>
      </c>
    </row>
    <row r="37" spans="1:20" x14ac:dyDescent="0.3">
      <c r="A37" s="198" t="s">
        <v>348</v>
      </c>
      <c r="B37" s="199" t="str">
        <f t="shared" ref="B37:S37" si="12">IF(B16=MAX($B$4:$S$21),"Max",IF(B16=MIN($B$4:$S$21),"Min",""))</f>
        <v/>
      </c>
      <c r="C37" s="199" t="str">
        <f t="shared" si="12"/>
        <v/>
      </c>
      <c r="D37" s="199" t="str">
        <f t="shared" si="12"/>
        <v/>
      </c>
      <c r="E37" s="199" t="str">
        <f t="shared" si="12"/>
        <v/>
      </c>
      <c r="F37" s="199" t="str">
        <f t="shared" si="12"/>
        <v/>
      </c>
      <c r="G37" s="199" t="str">
        <f t="shared" si="12"/>
        <v/>
      </c>
      <c r="H37" s="199" t="str">
        <f t="shared" si="12"/>
        <v/>
      </c>
      <c r="I37" s="199" t="str">
        <f t="shared" si="12"/>
        <v/>
      </c>
      <c r="J37" s="199" t="str">
        <f t="shared" si="12"/>
        <v/>
      </c>
      <c r="K37" s="199" t="str">
        <f t="shared" si="12"/>
        <v/>
      </c>
      <c r="L37" s="199" t="str">
        <f t="shared" si="12"/>
        <v/>
      </c>
      <c r="M37" s="199" t="str">
        <f t="shared" si="12"/>
        <v/>
      </c>
      <c r="N37" s="199" t="str">
        <f t="shared" si="12"/>
        <v/>
      </c>
      <c r="O37" s="199" t="str">
        <f t="shared" si="12"/>
        <v/>
      </c>
      <c r="P37" s="199" t="str">
        <f t="shared" si="12"/>
        <v/>
      </c>
      <c r="Q37" s="199" t="str">
        <f t="shared" si="12"/>
        <v/>
      </c>
      <c r="R37" s="199" t="str">
        <f t="shared" si="12"/>
        <v/>
      </c>
      <c r="S37" s="199" t="str">
        <f t="shared" si="12"/>
        <v/>
      </c>
      <c r="T37" s="198" t="s">
        <v>348</v>
      </c>
    </row>
    <row r="38" spans="1:20" x14ac:dyDescent="0.3">
      <c r="A38" s="198" t="s">
        <v>349</v>
      </c>
      <c r="B38" s="199" t="str">
        <f t="shared" ref="B38:S38" si="13">IF(B17=MAX($B$4:$S$21),"Max",IF(B17=MIN($B$4:$S$21),"Min",""))</f>
        <v/>
      </c>
      <c r="C38" s="199" t="str">
        <f t="shared" si="13"/>
        <v/>
      </c>
      <c r="D38" s="199" t="str">
        <f t="shared" si="13"/>
        <v/>
      </c>
      <c r="E38" s="199" t="str">
        <f t="shared" si="13"/>
        <v/>
      </c>
      <c r="F38" s="199" t="str">
        <f t="shared" si="13"/>
        <v/>
      </c>
      <c r="G38" s="199" t="str">
        <f t="shared" si="13"/>
        <v/>
      </c>
      <c r="H38" s="199" t="str">
        <f t="shared" si="13"/>
        <v/>
      </c>
      <c r="I38" s="199" t="str">
        <f t="shared" si="13"/>
        <v/>
      </c>
      <c r="J38" s="199" t="str">
        <f t="shared" si="13"/>
        <v/>
      </c>
      <c r="K38" s="199" t="str">
        <f t="shared" si="13"/>
        <v/>
      </c>
      <c r="L38" s="199" t="str">
        <f t="shared" si="13"/>
        <v/>
      </c>
      <c r="M38" s="199" t="str">
        <f t="shared" si="13"/>
        <v/>
      </c>
      <c r="N38" s="199" t="str">
        <f t="shared" si="13"/>
        <v/>
      </c>
      <c r="O38" s="199" t="str">
        <f t="shared" si="13"/>
        <v/>
      </c>
      <c r="P38" s="199" t="str">
        <f t="shared" si="13"/>
        <v/>
      </c>
      <c r="Q38" s="199" t="str">
        <f t="shared" si="13"/>
        <v/>
      </c>
      <c r="R38" s="199" t="str">
        <f t="shared" si="13"/>
        <v/>
      </c>
      <c r="S38" s="199" t="str">
        <f t="shared" si="13"/>
        <v/>
      </c>
      <c r="T38" s="198" t="s">
        <v>349</v>
      </c>
    </row>
    <row r="39" spans="1:20" x14ac:dyDescent="0.3">
      <c r="A39" s="198" t="s">
        <v>350</v>
      </c>
      <c r="B39" s="199" t="str">
        <f t="shared" ref="B39:S39" si="14">IF(B18=MAX($B$4:$S$21),"Max",IF(B18=MIN($B$4:$S$21),"Min",""))</f>
        <v/>
      </c>
      <c r="C39" s="199" t="str">
        <f t="shared" si="14"/>
        <v/>
      </c>
      <c r="D39" s="199" t="str">
        <f t="shared" si="14"/>
        <v/>
      </c>
      <c r="E39" s="199" t="str">
        <f t="shared" si="14"/>
        <v/>
      </c>
      <c r="F39" s="199" t="str">
        <f t="shared" si="14"/>
        <v/>
      </c>
      <c r="G39" s="199" t="str">
        <f t="shared" si="14"/>
        <v/>
      </c>
      <c r="H39" s="199" t="str">
        <f t="shared" si="14"/>
        <v/>
      </c>
      <c r="I39" s="199" t="str">
        <f t="shared" si="14"/>
        <v/>
      </c>
      <c r="J39" s="199" t="str">
        <f t="shared" si="14"/>
        <v/>
      </c>
      <c r="K39" s="199" t="str">
        <f t="shared" si="14"/>
        <v/>
      </c>
      <c r="L39" s="199" t="str">
        <f t="shared" si="14"/>
        <v/>
      </c>
      <c r="M39" s="199" t="str">
        <f t="shared" si="14"/>
        <v/>
      </c>
      <c r="N39" s="199" t="str">
        <f t="shared" si="14"/>
        <v/>
      </c>
      <c r="O39" s="199" t="str">
        <f t="shared" si="14"/>
        <v/>
      </c>
      <c r="P39" s="199" t="str">
        <f t="shared" si="14"/>
        <v/>
      </c>
      <c r="Q39" s="199" t="str">
        <f t="shared" si="14"/>
        <v/>
      </c>
      <c r="R39" s="199" t="str">
        <f t="shared" si="14"/>
        <v/>
      </c>
      <c r="S39" s="199" t="str">
        <f t="shared" si="14"/>
        <v/>
      </c>
      <c r="T39" s="198" t="s">
        <v>350</v>
      </c>
    </row>
    <row r="40" spans="1:20" x14ac:dyDescent="0.3">
      <c r="A40" s="198" t="s">
        <v>351</v>
      </c>
      <c r="B40" s="199" t="str">
        <f t="shared" ref="B40:S40" si="15">IF(B19=MAX($B$4:$S$21),"Max",IF(B19=MIN($B$4:$S$21),"Min",""))</f>
        <v/>
      </c>
      <c r="C40" s="199" t="str">
        <f t="shared" si="15"/>
        <v/>
      </c>
      <c r="D40" s="199" t="str">
        <f t="shared" si="15"/>
        <v/>
      </c>
      <c r="E40" s="199" t="str">
        <f t="shared" si="15"/>
        <v/>
      </c>
      <c r="F40" s="199" t="str">
        <f t="shared" si="15"/>
        <v/>
      </c>
      <c r="G40" s="199" t="str">
        <f t="shared" si="15"/>
        <v/>
      </c>
      <c r="H40" s="199" t="str">
        <f t="shared" si="15"/>
        <v/>
      </c>
      <c r="I40" s="199" t="str">
        <f t="shared" si="15"/>
        <v/>
      </c>
      <c r="J40" s="199" t="str">
        <f t="shared" si="15"/>
        <v/>
      </c>
      <c r="K40" s="199" t="str">
        <f t="shared" si="15"/>
        <v/>
      </c>
      <c r="L40" s="199" t="str">
        <f t="shared" si="15"/>
        <v/>
      </c>
      <c r="M40" s="199" t="str">
        <f t="shared" si="15"/>
        <v/>
      </c>
      <c r="N40" s="199" t="str">
        <f t="shared" si="15"/>
        <v/>
      </c>
      <c r="O40" s="199" t="str">
        <f t="shared" si="15"/>
        <v/>
      </c>
      <c r="P40" s="199" t="str">
        <f t="shared" si="15"/>
        <v/>
      </c>
      <c r="Q40" s="199" t="str">
        <f t="shared" si="15"/>
        <v/>
      </c>
      <c r="R40" s="199" t="str">
        <f t="shared" si="15"/>
        <v/>
      </c>
      <c r="S40" s="199" t="str">
        <f t="shared" si="15"/>
        <v/>
      </c>
      <c r="T40" s="198" t="s">
        <v>351</v>
      </c>
    </row>
    <row r="41" spans="1:20" x14ac:dyDescent="0.3">
      <c r="A41" s="198" t="s">
        <v>352</v>
      </c>
      <c r="B41" s="199" t="str">
        <f t="shared" ref="B41:S41" si="16">IF(B20=MAX($B$4:$S$21),"Max",IF(B20=MIN($B$4:$S$21),"Min",""))</f>
        <v/>
      </c>
      <c r="C41" s="199" t="str">
        <f t="shared" si="16"/>
        <v/>
      </c>
      <c r="D41" s="199" t="str">
        <f t="shared" si="16"/>
        <v/>
      </c>
      <c r="E41" s="199" t="str">
        <f t="shared" si="16"/>
        <v/>
      </c>
      <c r="F41" s="199" t="str">
        <f t="shared" si="16"/>
        <v/>
      </c>
      <c r="G41" s="199" t="str">
        <f t="shared" si="16"/>
        <v/>
      </c>
      <c r="H41" s="199" t="str">
        <f t="shared" si="16"/>
        <v/>
      </c>
      <c r="I41" s="199" t="str">
        <f t="shared" si="16"/>
        <v/>
      </c>
      <c r="J41" s="199" t="str">
        <f t="shared" si="16"/>
        <v/>
      </c>
      <c r="K41" s="199" t="str">
        <f t="shared" si="16"/>
        <v/>
      </c>
      <c r="L41" s="199" t="str">
        <f t="shared" si="16"/>
        <v/>
      </c>
      <c r="M41" s="199" t="str">
        <f t="shared" si="16"/>
        <v/>
      </c>
      <c r="N41" s="199" t="str">
        <f t="shared" si="16"/>
        <v/>
      </c>
      <c r="O41" s="199" t="str">
        <f t="shared" si="16"/>
        <v/>
      </c>
      <c r="P41" s="199" t="str">
        <f t="shared" si="16"/>
        <v/>
      </c>
      <c r="Q41" s="199" t="str">
        <f t="shared" si="16"/>
        <v/>
      </c>
      <c r="R41" s="199" t="str">
        <f t="shared" si="16"/>
        <v/>
      </c>
      <c r="S41" s="199" t="str">
        <f t="shared" si="16"/>
        <v/>
      </c>
      <c r="T41" s="198" t="s">
        <v>352</v>
      </c>
    </row>
    <row r="42" spans="1:20" x14ac:dyDescent="0.3">
      <c r="A42" s="198" t="s">
        <v>99</v>
      </c>
      <c r="B42" s="199" t="str">
        <f t="shared" ref="B42:S42" si="17">IF(B21=MAX($B$4:$S$21),"Max",IF(B21=MIN($B$4:$S$21),"Min",""))</f>
        <v/>
      </c>
      <c r="C42" s="199" t="str">
        <f t="shared" si="17"/>
        <v/>
      </c>
      <c r="D42" s="199" t="str">
        <f t="shared" si="17"/>
        <v/>
      </c>
      <c r="E42" s="199" t="str">
        <f t="shared" si="17"/>
        <v/>
      </c>
      <c r="F42" s="199" t="str">
        <f t="shared" si="17"/>
        <v/>
      </c>
      <c r="G42" s="199" t="str">
        <f t="shared" si="17"/>
        <v/>
      </c>
      <c r="H42" s="199" t="str">
        <f t="shared" si="17"/>
        <v/>
      </c>
      <c r="I42" s="199" t="str">
        <f t="shared" si="17"/>
        <v/>
      </c>
      <c r="J42" s="199" t="str">
        <f t="shared" si="17"/>
        <v/>
      </c>
      <c r="K42" s="199" t="str">
        <f t="shared" si="17"/>
        <v>Min</v>
      </c>
      <c r="L42" s="199" t="str">
        <f t="shared" si="17"/>
        <v/>
      </c>
      <c r="M42" s="199" t="str">
        <f t="shared" si="17"/>
        <v/>
      </c>
      <c r="N42" s="199" t="str">
        <f t="shared" si="17"/>
        <v/>
      </c>
      <c r="O42" s="199" t="str">
        <f t="shared" si="17"/>
        <v/>
      </c>
      <c r="P42" s="199" t="str">
        <f t="shared" si="17"/>
        <v/>
      </c>
      <c r="Q42" s="199" t="str">
        <f t="shared" si="17"/>
        <v/>
      </c>
      <c r="R42" s="199" t="str">
        <f t="shared" si="17"/>
        <v/>
      </c>
      <c r="S42" s="199" t="str">
        <f t="shared" si="17"/>
        <v/>
      </c>
      <c r="T42" s="198" t="s">
        <v>99</v>
      </c>
    </row>
    <row r="43" spans="1:20" x14ac:dyDescent="0.3">
      <c r="A43" s="112"/>
      <c r="B43" s="112" t="s">
        <v>353</v>
      </c>
      <c r="C43" s="112" t="s">
        <v>354</v>
      </c>
      <c r="D43" s="112" t="s">
        <v>355</v>
      </c>
      <c r="E43" s="112" t="s">
        <v>356</v>
      </c>
      <c r="F43" s="112" t="s">
        <v>357</v>
      </c>
      <c r="G43" s="112" t="s">
        <v>358</v>
      </c>
      <c r="H43" s="112" t="s">
        <v>359</v>
      </c>
      <c r="I43" s="112" t="s">
        <v>358</v>
      </c>
      <c r="J43" s="112" t="s">
        <v>360</v>
      </c>
      <c r="K43" s="112" t="s">
        <v>361</v>
      </c>
      <c r="L43" s="112" t="s">
        <v>362</v>
      </c>
      <c r="M43" s="112" t="s">
        <v>363</v>
      </c>
      <c r="N43" s="112" t="s">
        <v>364</v>
      </c>
      <c r="O43" s="112" t="s">
        <v>365</v>
      </c>
      <c r="P43" s="112" t="s">
        <v>366</v>
      </c>
      <c r="Q43" s="112" t="s">
        <v>367</v>
      </c>
      <c r="R43" s="112" t="s">
        <v>368</v>
      </c>
      <c r="S43" s="112" t="s">
        <v>99</v>
      </c>
    </row>
    <row r="44" spans="1:20" x14ac:dyDescent="0.3">
      <c r="A44" s="154" t="s">
        <v>373</v>
      </c>
      <c r="B44" s="112"/>
      <c r="C44" s="112"/>
    </row>
    <row r="45" spans="1:20" x14ac:dyDescent="0.3">
      <c r="A45" s="112" t="str">
        <f>IFERROR(HLOOKUP("Max",$B$25:$S$43,19,FALSE),IFERROR(HLOOKUP("Max",$B$26:$S$43,18,FALSE),IFERROR(HLOOKUP("Max",$B$27:$S$43,17,FALSE),IFERROR(HLOOKUP("Max",$B$28:$S$43,16,FALSE),IFERROR(HLOOKUP("Max",$B$29:$S$43,15,FALSE),IFERROR(HLOOKUP("Max",$B$30:$S$43,14,FALSE),IFERROR(HLOOKUP("Max",$B$31:$S$43,13,FALSE),IFERROR(HLOOKUP("Max",$B$32:$S$43,12,FALSE),IFERROR(HLOOKUP("Max",$B$33:$S$43,11,FALSE),IFERROR(HLOOKUP("Max",$B$34:$S$43,10,FALSE),IFERROR(HLOOKUP("Max",$B$35:$S$43,9,FALSE),IFERROR(HLOOKUP("Max",$B$36:$S$43,8,FALSE),IFERROR(HLOOKUP("Max",$B$37:$S$43,7,FALSE),IFERROR(HLOOKUP("Max",$B$38:$S$43,6,FALSE),IFERROR(HLOOKUP("Max",$B$39:$S$43,5,FALSE),IFERROR(HLOOKUP("Max",$B$40:$S$43,4,FALSE),IFERROR(HLOOKUP("Max",$B$41:$S$43,3,FALSE),IFERROR(HLOOKUP("Max",$B$42:$S$43,2,FALSE),""))))))))))))))))))</f>
        <v>15</v>
      </c>
      <c r="B45" s="201" t="str">
        <f>IFERROR(VLOOKUP("Max",$B$25:$T$42,19,FALSE),IFERROR(VLOOKUP("Max",$C$25:$T$42,18,FALSE),IFERROR(VLOOKUP("Max",$D$25:$T$42,17,FALSE),IFERROR(VLOOKUP("Max",$E$25:$T$42,16,FALSE),IFERROR(VLOOKUP("Max",$F$25:$T$42,15,FALSE),IFERROR(VLOOKUP("Max",$G$25:$T$42,14,FALSE),IFERROR(VLOOKUP("Max",$H$25:$T$42,13,FALSE),IFERROR(VLOOKUP("Max",$I$25:$T$42,12,FALSE),IFERROR(VLOOKUP("Max",$J$25:$T$42,11,FALSE),IFERROR(VLOOKUP("Max",$K$25:$T$42,10,FALSE),IFERROR(VLOOKUP("Max",$L$25:$T$42,9,FALSE),IFERROR(VLOOKUP("Max",$M$25:$T$42,8,FALSE),IFERROR(VLOOKUP("Max",$N$25:$T$42,7,FALSE),IFERROR(VLOOKUP("Max",$O$25:$T$42,6,FALSE),IFERROR(VLOOKUP("Max",$P$25:$T$42,5,FALSE),IFERROR(VLOOKUP("Max",$Q$25:$T$42,4,FALSE),IFERROR(VLOOKUP("Max",$R$25:$T$42,3,FALSE),IFERROR(VLOOKUP("Max",$S$25:$T$42,2,FALSE),""))))))))))))))))))</f>
        <v>44</v>
      </c>
      <c r="C45" s="112"/>
    </row>
    <row r="46" spans="1:20" x14ac:dyDescent="0.3">
      <c r="A46" s="112"/>
      <c r="B46" s="199"/>
      <c r="C46" s="112"/>
    </row>
    <row r="47" spans="1:20" x14ac:dyDescent="0.3">
      <c r="A47" s="154" t="s">
        <v>374</v>
      </c>
      <c r="B47" s="199"/>
      <c r="C47" s="112"/>
    </row>
    <row r="48" spans="1:20" x14ac:dyDescent="0.3">
      <c r="A48" s="201" t="str">
        <f>IFERROR(HLOOKUP("Min",$B$25:$S$43,19,FALSE),IFERROR(HLOOKUP("Min",$B$26:$S$43,18,FALSE),IFERROR(HLOOKUP("Min",$B$27:$S$43,17,FALSE),IFERROR(HLOOKUP("Min",$B$28:$S$43,16,FALSE),IFERROR(HLOOKUP("Min",$B$29:$S$43,15,FALSE),IFERROR(HLOOKUP("Min",$B$30:$S$43,14,FALSE),IFERROR(HLOOKUP("Min",$B$31:$S$43,13,FALSE),IFERROR(HLOOKUP("Min",$B$32:$S$43,12,FALSE),IFERROR(HLOOKUP("Min",$B$33:$S$43,11,FALSE),IFERROR(HLOOKUP("Min",$B$34:$S$43,10,FALSE),IFERROR(HLOOKUP("Min",$B$35:$S$43,9,FALSE),IFERROR(HLOOKUP("Min",$B$36:$S$43,8,FALSE),IFERROR(HLOOKUP("Min",$B$37:$S$43,7,FALSE),IFERROR(HLOOKUP("Min",$B$38:$S$43,6,FALSE),IFERROR(HLOOKUP("Min",$B$39:$S$43,5,FALSE),IFERROR(HLOOKUP("Min",$B$40:$S$43,4,FALSE),IFERROR(HLOOKUP("Min",$B$41:$S$43,3,FALSE),IFERROR(HLOOKUP("Min",$B$42:$S$43,2,FALSE),""))))))))))))))))))</f>
        <v>45</v>
      </c>
      <c r="B48" s="199" t="str">
        <f>IFERROR(VLOOKUP("Min",$B$25:$T$42,19,FALSE),IFERROR(VLOOKUP("Min",$C$25:$T$42,18,FALSE),IFERROR(VLOOKUP("Min",$D$25:$T$42,17,FALSE),IFERROR(VLOOKUP("Min",$E$25:$T$42,16,FALSE),IFERROR(VLOOKUP("Min",$F$25:$T$42,15,FALSE),IFERROR(VLOOKUP("Min",$G$25:$T$42,14,FALSE),IFERROR(VLOOKUP("Min",$H$25:$T$42,13,FALSE),IFERROR(VLOOKUP("Min",$I$25:$T$42,12,FALSE),IFERROR(VLOOKUP("Min",$J$25:$T$42,11,FALSE),IFERROR(VLOOKUP("Min",$K$25:$T$42,10,FALSE),IFERROR(VLOOKUP("Min",$L$25:$T$42,9,FALSE),IFERROR(VLOOKUP("Min",$M$25:$T$42,8,FALSE),IFERROR(VLOOKUP("Min",$N$25:$T$42,7,FALSE),IFERROR(VLOOKUP("Min",$O$25:$T$42,6,FALSE),IFERROR(VLOOKUP("Min",$P$25:$T$42,5,FALSE),IFERROR(VLOOKUP("Min",$Q$25:$T$42,4,FALSE),IFERROR(VLOOKUP("Min",$R$25:$T$42,3,FALSE),IFERROR(VLOOKUP("Min",$S$25:$T$42,2,FALSE),""))))))))))))))))))</f>
        <v>85+</v>
      </c>
      <c r="C48" s="112"/>
    </row>
    <row r="52" spans="1:28" x14ac:dyDescent="0.3">
      <c r="A52" s="196" t="s">
        <v>833</v>
      </c>
      <c r="B52" s="112"/>
      <c r="C52" s="112"/>
      <c r="D52" s="112"/>
      <c r="E52" s="112"/>
      <c r="F52" s="112"/>
      <c r="G52" s="112"/>
      <c r="H52" s="112"/>
      <c r="I52" s="112"/>
    </row>
    <row r="53" spans="1:28" x14ac:dyDescent="0.3">
      <c r="A53" s="175" t="s">
        <v>651</v>
      </c>
      <c r="B53" s="194" t="s">
        <v>369</v>
      </c>
      <c r="C53" s="194"/>
      <c r="D53" s="194" t="s">
        <v>370</v>
      </c>
      <c r="E53" s="194"/>
      <c r="F53" s="154" t="s">
        <v>1</v>
      </c>
      <c r="G53" s="112"/>
      <c r="H53" s="112"/>
      <c r="I53" s="112"/>
    </row>
    <row r="54" spans="1:28" x14ac:dyDescent="0.3">
      <c r="A54" s="175"/>
      <c r="B54" s="177" t="s">
        <v>74</v>
      </c>
      <c r="C54" s="177" t="s">
        <v>75</v>
      </c>
      <c r="D54" s="177" t="s">
        <v>74</v>
      </c>
      <c r="E54" s="177" t="s">
        <v>75</v>
      </c>
      <c r="F54" s="112"/>
      <c r="G54" s="112"/>
      <c r="H54" s="112"/>
      <c r="I54" s="112"/>
    </row>
    <row r="55" spans="1:28" x14ac:dyDescent="0.3">
      <c r="A55" s="178" t="s">
        <v>652</v>
      </c>
      <c r="B55" s="179">
        <f>'Census demographics'!B54</f>
        <v>1707</v>
      </c>
      <c r="C55" s="189">
        <f>'Census demographics'!C54</f>
        <v>4.6431544073245968E-3</v>
      </c>
      <c r="D55" s="179">
        <f>'Census demographics'!D54</f>
        <v>7086</v>
      </c>
      <c r="E55" s="189">
        <f>'Census demographics'!E54</f>
        <v>4.536648514097158E-3</v>
      </c>
      <c r="F55" s="201">
        <f>'Census demographics'!F54</f>
        <v>102.34767787049147</v>
      </c>
      <c r="G55" s="112"/>
      <c r="H55" s="112"/>
      <c r="I55" s="112"/>
    </row>
    <row r="56" spans="1:28" x14ac:dyDescent="0.3">
      <c r="A56" s="178" t="s">
        <v>653</v>
      </c>
      <c r="B56" s="179">
        <f>'Census demographics'!B55</f>
        <v>4805</v>
      </c>
      <c r="C56" s="189">
        <f>'Census demographics'!C55</f>
        <v>1.3069922042879137E-2</v>
      </c>
      <c r="D56" s="179">
        <f>'Census demographics'!D55</f>
        <v>11792</v>
      </c>
      <c r="E56" s="189">
        <f>'Census demographics'!E55</f>
        <v>7.549556770848672E-3</v>
      </c>
      <c r="F56" s="201">
        <f>'Census demographics'!F55</f>
        <v>173.12171349378303</v>
      </c>
      <c r="G56" s="112"/>
      <c r="H56" s="112"/>
      <c r="I56" s="112"/>
    </row>
    <row r="57" spans="1:28" x14ac:dyDescent="0.3">
      <c r="A57" s="178" t="s">
        <v>654</v>
      </c>
      <c r="B57" s="179">
        <f>'Census demographics'!B56</f>
        <v>5736</v>
      </c>
      <c r="C57" s="189">
        <f>'Census demographics'!C56</f>
        <v>1.5602304440781421E-2</v>
      </c>
      <c r="D57" s="179">
        <f>'Census demographics'!D56</f>
        <v>18770</v>
      </c>
      <c r="E57" s="189">
        <f>'Census demographics'!E56</f>
        <v>1.2017060769066281E-2</v>
      </c>
      <c r="F57" s="201">
        <f>'Census demographics'!F56</f>
        <v>129.83461380959392</v>
      </c>
      <c r="G57" s="112"/>
      <c r="H57" s="112"/>
      <c r="I57" s="112"/>
    </row>
    <row r="58" spans="1:28" x14ac:dyDescent="0.3">
      <c r="A58" s="178" t="s">
        <v>655</v>
      </c>
      <c r="B58" s="179">
        <f>'Census demographics'!B57</f>
        <v>7088</v>
      </c>
      <c r="C58" s="189">
        <f>'Census demographics'!C57</f>
        <v>1.9279835055135759E-2</v>
      </c>
      <c r="D58" s="179">
        <f>'Census demographics'!D57</f>
        <v>15579</v>
      </c>
      <c r="E58" s="189">
        <f>'Census demographics'!E57</f>
        <v>9.9740964156251246E-3</v>
      </c>
      <c r="F58" s="201">
        <f>'Census demographics'!F57</f>
        <v>193.29906441382039</v>
      </c>
      <c r="G58" s="112"/>
      <c r="H58" s="112"/>
      <c r="I58" s="112"/>
    </row>
    <row r="59" spans="1:28" x14ac:dyDescent="0.3">
      <c r="A59" s="178" t="s">
        <v>668</v>
      </c>
      <c r="B59" s="179">
        <f>'Census demographics'!B58</f>
        <v>4270</v>
      </c>
      <c r="C59" s="189">
        <f>'Census demographics'!C58</f>
        <v>1.1614686185867619E-2</v>
      </c>
      <c r="D59" s="179">
        <f>'Census demographics'!D58</f>
        <v>14159</v>
      </c>
      <c r="E59" s="189">
        <f>'Census demographics'!E58</f>
        <v>9.0649740772088157E-3</v>
      </c>
      <c r="F59" s="201">
        <f>'Census demographics'!F58</f>
        <v>128.12707556516125</v>
      </c>
      <c r="G59" s="112"/>
      <c r="H59" s="112"/>
      <c r="I59" s="112"/>
    </row>
    <row r="60" spans="1:28" x14ac:dyDescent="0.3">
      <c r="A60" s="178" t="s">
        <v>656</v>
      </c>
      <c r="B60" s="179">
        <f>'Census demographics'!B59</f>
        <v>14387</v>
      </c>
      <c r="C60" s="189">
        <f>'Census demographics'!C59</f>
        <v>3.913360425200877E-2</v>
      </c>
      <c r="D60" s="179">
        <f>'Census demographics'!D59</f>
        <v>26004</v>
      </c>
      <c r="E60" s="189">
        <f>'Census demographics'!E59</f>
        <v>1.6648462878998377E-2</v>
      </c>
      <c r="F60" s="201">
        <f>'Census demographics'!F59</f>
        <v>235.05836266346751</v>
      </c>
      <c r="G60" s="112"/>
      <c r="H60" s="112"/>
      <c r="I60" s="112"/>
    </row>
    <row r="61" spans="1:28" x14ac:dyDescent="0.3">
      <c r="A61" s="178" t="s">
        <v>657</v>
      </c>
      <c r="B61" s="179">
        <f>'Census demographics'!B60</f>
        <v>5155</v>
      </c>
      <c r="C61" s="189">
        <f>'Census demographics'!C60</f>
        <v>1.4021945500737138E-2</v>
      </c>
      <c r="D61" s="179">
        <f>'Census demographics'!D60</f>
        <v>9991</v>
      </c>
      <c r="E61" s="189">
        <f>'Census demographics'!E60</f>
        <v>6.3965079458572832E-3</v>
      </c>
      <c r="F61" s="201">
        <f>'Census demographics'!F60</f>
        <v>219.21250812825912</v>
      </c>
      <c r="G61" s="112"/>
      <c r="H61" s="112"/>
      <c r="I61" s="112"/>
    </row>
    <row r="62" spans="1:28" x14ac:dyDescent="0.3">
      <c r="A62" s="178" t="s">
        <v>667</v>
      </c>
      <c r="B62" s="179">
        <f>'Census demographics'!B61</f>
        <v>2203</v>
      </c>
      <c r="C62" s="189">
        <f>'Census demographics'!C61</f>
        <v>5.9923076504605072E-3</v>
      </c>
      <c r="D62" s="179">
        <f>'Census demographics'!D61</f>
        <v>4605</v>
      </c>
      <c r="E62" s="189">
        <f>'Census demographics'!E61</f>
        <v>2.9482453298641568E-3</v>
      </c>
      <c r="F62" s="201">
        <f>'Census demographics'!F61</f>
        <v>203.24996667548723</v>
      </c>
      <c r="G62" s="112"/>
      <c r="H62" s="112"/>
      <c r="I62" s="112"/>
      <c r="J62" s="154"/>
      <c r="K62" s="112"/>
      <c r="L62" s="112"/>
      <c r="M62" s="112"/>
      <c r="N62" s="112"/>
      <c r="O62" s="112"/>
      <c r="P62" s="112"/>
      <c r="Q62" s="112"/>
      <c r="R62" s="112"/>
      <c r="S62" s="112"/>
      <c r="T62" s="112"/>
      <c r="U62" s="112"/>
      <c r="V62" s="112"/>
      <c r="W62" s="112"/>
      <c r="X62" s="112"/>
      <c r="Y62" s="112"/>
      <c r="Z62" s="112"/>
      <c r="AA62" s="112"/>
      <c r="AB62" s="112"/>
    </row>
    <row r="63" spans="1:28" x14ac:dyDescent="0.3">
      <c r="A63" s="178" t="s">
        <v>658</v>
      </c>
      <c r="B63" s="179">
        <f>'Census demographics'!B62</f>
        <v>4560</v>
      </c>
      <c r="C63" s="189">
        <f>'Census demographics'!C62</f>
        <v>1.2403505622378535E-2</v>
      </c>
      <c r="D63" s="179">
        <f>'Census demographics'!D62</f>
        <v>12818</v>
      </c>
      <c r="E63" s="189">
        <f>'Census demographics'!E62</f>
        <v>8.2064296717043999E-3</v>
      </c>
      <c r="F63" s="201">
        <f>'Census demographics'!F62</f>
        <v>151.14375091942316</v>
      </c>
      <c r="G63" s="112"/>
      <c r="H63" s="112"/>
      <c r="I63" s="112"/>
      <c r="J63" s="112"/>
      <c r="K63" s="112"/>
      <c r="L63" s="112"/>
      <c r="M63" s="112"/>
      <c r="N63" s="112"/>
      <c r="O63" s="112"/>
      <c r="P63" s="112"/>
      <c r="Q63" s="112"/>
      <c r="R63" s="112"/>
      <c r="S63" s="112"/>
      <c r="T63" s="112"/>
      <c r="U63" s="112"/>
      <c r="V63" s="112"/>
      <c r="W63" s="112"/>
      <c r="X63" s="112"/>
      <c r="Y63" s="112"/>
      <c r="Z63" s="112"/>
      <c r="AA63" s="112"/>
      <c r="AB63" s="112"/>
    </row>
    <row r="64" spans="1:28" x14ac:dyDescent="0.3">
      <c r="A64" s="178" t="s">
        <v>659</v>
      </c>
      <c r="B64" s="179">
        <f>'Census demographics'!B63</f>
        <v>2082</v>
      </c>
      <c r="C64" s="189">
        <f>'Census demographics'!C63</f>
        <v>5.6631795407438837E-3</v>
      </c>
      <c r="D64" s="179">
        <f>'Census demographics'!D63</f>
        <v>5853</v>
      </c>
      <c r="E64" s="189">
        <f>'Census demographics'!E63</f>
        <v>3.7472486244722928E-3</v>
      </c>
      <c r="F64" s="201">
        <f>'Census demographics'!F63</f>
        <v>151.1290044583418</v>
      </c>
      <c r="G64" s="112"/>
      <c r="H64" s="112"/>
      <c r="I64" s="112"/>
      <c r="J64" s="198"/>
      <c r="K64" s="199"/>
      <c r="L64" s="199"/>
      <c r="M64" s="199"/>
      <c r="N64" s="199"/>
      <c r="O64" s="199"/>
      <c r="P64" s="199"/>
      <c r="Q64" s="199"/>
      <c r="R64" s="199"/>
      <c r="S64" s="199"/>
      <c r="T64" s="199"/>
      <c r="U64" s="199"/>
      <c r="V64" s="199"/>
      <c r="W64" s="199"/>
      <c r="X64" s="199"/>
      <c r="Y64" s="199"/>
      <c r="Z64" s="199"/>
      <c r="AA64" s="199"/>
      <c r="AB64" s="199"/>
    </row>
    <row r="65" spans="1:28" x14ac:dyDescent="0.3">
      <c r="A65" s="178" t="s">
        <v>660</v>
      </c>
      <c r="B65" s="179">
        <f>'Census demographics'!B64</f>
        <v>5773</v>
      </c>
      <c r="C65" s="189">
        <f>'Census demographics'!C64</f>
        <v>1.5702946920612124E-2</v>
      </c>
      <c r="D65" s="179">
        <f>'Census demographics'!D64</f>
        <v>15764</v>
      </c>
      <c r="E65" s="189">
        <f>'Census demographics'!E64</f>
        <v>1.0092538410418798E-2</v>
      </c>
      <c r="F65" s="201">
        <f>'Census demographics'!F64</f>
        <v>155.58966715847771</v>
      </c>
      <c r="G65" s="112"/>
      <c r="H65" s="112"/>
      <c r="I65" s="112"/>
      <c r="J65" s="198"/>
      <c r="K65" s="199"/>
      <c r="L65" s="199"/>
      <c r="M65" s="199"/>
      <c r="N65" s="199"/>
      <c r="O65" s="199"/>
      <c r="P65" s="199"/>
      <c r="Q65" s="199"/>
      <c r="R65" s="199"/>
      <c r="S65" s="199"/>
      <c r="T65" s="199"/>
      <c r="U65" s="199"/>
      <c r="V65" s="199"/>
      <c r="W65" s="199"/>
      <c r="X65" s="199"/>
      <c r="Y65" s="199"/>
      <c r="Z65" s="199"/>
      <c r="AA65" s="199"/>
      <c r="AB65" s="199"/>
    </row>
    <row r="66" spans="1:28" x14ac:dyDescent="0.3">
      <c r="A66" s="178" t="s">
        <v>661</v>
      </c>
      <c r="B66" s="179">
        <f>'Census demographics'!B65</f>
        <v>4257</v>
      </c>
      <c r="C66" s="189">
        <f>'Census demographics'!C65</f>
        <v>1.1579325314575751E-2</v>
      </c>
      <c r="D66" s="179">
        <f>'Census demographics'!D65</f>
        <v>11233</v>
      </c>
      <c r="E66" s="189">
        <f>'Census demographics'!E65</f>
        <v>7.1916698784721114E-3</v>
      </c>
      <c r="F66" s="201">
        <f>'Census demographics'!F65</f>
        <v>161.01024532894448</v>
      </c>
      <c r="G66" s="112"/>
      <c r="H66" s="112"/>
      <c r="I66" s="112"/>
      <c r="J66" s="198"/>
      <c r="K66" s="199"/>
      <c r="L66" s="199"/>
      <c r="M66" s="199"/>
      <c r="N66" s="199"/>
      <c r="O66" s="199"/>
      <c r="P66" s="199"/>
      <c r="Q66" s="199"/>
      <c r="R66" s="199"/>
      <c r="S66" s="199"/>
      <c r="T66" s="199"/>
      <c r="U66" s="199"/>
      <c r="V66" s="199"/>
      <c r="W66" s="199"/>
      <c r="X66" s="199"/>
      <c r="Y66" s="199"/>
      <c r="Z66" s="199"/>
      <c r="AA66" s="199"/>
      <c r="AB66" s="199"/>
    </row>
    <row r="67" spans="1:28" x14ac:dyDescent="0.3">
      <c r="A67" s="178" t="s">
        <v>662</v>
      </c>
      <c r="B67" s="179">
        <f>'Census demographics'!B66</f>
        <v>264132</v>
      </c>
      <c r="C67" s="189">
        <f>'Census demographics'!C66</f>
        <v>0.71845674277414195</v>
      </c>
      <c r="D67" s="179">
        <f>'Census demographics'!D66</f>
        <v>1288038</v>
      </c>
      <c r="E67" s="189">
        <f>'Census demographics'!E66</f>
        <v>0.8246367031894829</v>
      </c>
      <c r="F67" s="201">
        <f>'Census demographics'!F66</f>
        <v>87.124031709398324</v>
      </c>
      <c r="G67" s="112"/>
      <c r="H67" s="112"/>
      <c r="I67" s="112"/>
      <c r="J67" s="198"/>
      <c r="K67" s="199"/>
      <c r="L67" s="199"/>
      <c r="M67" s="199"/>
      <c r="N67" s="199"/>
      <c r="O67" s="199"/>
      <c r="P67" s="199"/>
      <c r="Q67" s="199"/>
      <c r="R67" s="199"/>
      <c r="S67" s="199"/>
      <c r="T67" s="199"/>
      <c r="U67" s="199"/>
      <c r="V67" s="199"/>
      <c r="W67" s="199"/>
      <c r="X67" s="199"/>
      <c r="Y67" s="199"/>
      <c r="Z67" s="199"/>
      <c r="AA67" s="199"/>
      <c r="AB67" s="199"/>
    </row>
    <row r="68" spans="1:28" x14ac:dyDescent="0.3">
      <c r="A68" s="178" t="s">
        <v>663</v>
      </c>
      <c r="B68" s="179">
        <f>'Census demographics'!B67</f>
        <v>3593</v>
      </c>
      <c r="C68" s="189">
        <f>'Census demographics'!C67</f>
        <v>9.7732008116679994E-3</v>
      </c>
      <c r="D68" s="179">
        <f>'Census demographics'!D67</f>
        <v>10080</v>
      </c>
      <c r="E68" s="189">
        <f>'Census demographics'!E67</f>
        <v>6.4534881487580235E-3</v>
      </c>
      <c r="F68" s="201">
        <f>'Census demographics'!F67</f>
        <v>151.44059439465858</v>
      </c>
      <c r="G68" s="112"/>
      <c r="H68" s="112"/>
      <c r="I68" s="112"/>
      <c r="J68" s="198"/>
      <c r="K68" s="199"/>
      <c r="L68" s="199"/>
      <c r="M68" s="199"/>
      <c r="N68" s="199"/>
      <c r="O68" s="199"/>
      <c r="P68" s="199"/>
      <c r="Q68" s="199"/>
      <c r="R68" s="199"/>
      <c r="S68" s="199"/>
      <c r="T68" s="199"/>
      <c r="U68" s="199"/>
      <c r="V68" s="199"/>
      <c r="W68" s="199"/>
      <c r="X68" s="199"/>
      <c r="Y68" s="199"/>
      <c r="Z68" s="199"/>
      <c r="AA68" s="199"/>
      <c r="AB68" s="199"/>
    </row>
    <row r="69" spans="1:28" x14ac:dyDescent="0.3">
      <c r="A69" s="178" t="s">
        <v>664</v>
      </c>
      <c r="B69" s="179">
        <f>'Census demographics'!B68</f>
        <v>246</v>
      </c>
      <c r="C69" s="189">
        <f>'Census demographics'!C68</f>
        <v>6.6913648752305261E-4</v>
      </c>
      <c r="D69" s="179">
        <f>'Census demographics'!D68</f>
        <v>1423</v>
      </c>
      <c r="E69" s="189">
        <f>'Census demographics'!E68</f>
        <v>9.1104301941296304E-4</v>
      </c>
      <c r="F69" s="201">
        <f>'Census demographics'!F68</f>
        <v>73.44729867467899</v>
      </c>
      <c r="G69" s="112"/>
      <c r="H69" s="112"/>
      <c r="I69" s="112"/>
      <c r="J69" s="198"/>
      <c r="K69" s="199"/>
      <c r="L69" s="199"/>
      <c r="M69" s="199"/>
      <c r="N69" s="199"/>
      <c r="O69" s="199"/>
      <c r="P69" s="199"/>
      <c r="Q69" s="199"/>
      <c r="R69" s="199"/>
      <c r="S69" s="199"/>
      <c r="T69" s="199"/>
      <c r="U69" s="199"/>
      <c r="V69" s="199"/>
      <c r="W69" s="199"/>
      <c r="X69" s="199"/>
      <c r="Y69" s="199"/>
      <c r="Z69" s="199"/>
      <c r="AA69" s="199"/>
      <c r="AB69" s="199"/>
    </row>
    <row r="70" spans="1:28" x14ac:dyDescent="0.3">
      <c r="A70" s="178" t="s">
        <v>665</v>
      </c>
      <c r="B70" s="179">
        <f>'Census demographics'!B69</f>
        <v>805</v>
      </c>
      <c r="C70" s="189">
        <f>'Census demographics'!C69</f>
        <v>2.1896539530734038E-3</v>
      </c>
      <c r="D70" s="179">
        <f>'Census demographics'!D69</f>
        <v>2268</v>
      </c>
      <c r="E70" s="189">
        <f>'Census demographics'!E69</f>
        <v>1.4520348334705554E-3</v>
      </c>
      <c r="F70" s="201">
        <f>'Census demographics'!F69</f>
        <v>150.79899618109306</v>
      </c>
      <c r="G70" s="112"/>
      <c r="H70" s="112"/>
      <c r="I70" s="112"/>
      <c r="J70" s="198"/>
      <c r="K70" s="199"/>
      <c r="L70" s="199"/>
      <c r="M70" s="199"/>
      <c r="N70" s="199"/>
      <c r="O70" s="199"/>
      <c r="P70" s="199"/>
      <c r="Q70" s="199"/>
      <c r="R70" s="199"/>
      <c r="S70" s="199"/>
      <c r="T70" s="199"/>
      <c r="U70" s="199"/>
      <c r="V70" s="199"/>
      <c r="W70" s="199"/>
      <c r="X70" s="199"/>
      <c r="Y70" s="199"/>
      <c r="Z70" s="199"/>
      <c r="AA70" s="199"/>
      <c r="AB70" s="199"/>
    </row>
    <row r="71" spans="1:28" x14ac:dyDescent="0.3">
      <c r="A71" s="178" t="s">
        <v>666</v>
      </c>
      <c r="B71" s="179">
        <f>'Census demographics'!B70</f>
        <v>29716</v>
      </c>
      <c r="C71" s="189">
        <f>'Census demographics'!C70</f>
        <v>8.0829511639166796E-2</v>
      </c>
      <c r="D71" s="179">
        <f>'Census demographics'!D70</f>
        <v>88342</v>
      </c>
      <c r="E71" s="189">
        <f>'Census demographics'!E70</f>
        <v>5.6558933535474337E-2</v>
      </c>
      <c r="F71" s="201">
        <f>'Census demographics'!F70</f>
        <v>142.91201510804603</v>
      </c>
      <c r="G71" s="112"/>
      <c r="H71" s="112"/>
      <c r="I71" s="112"/>
      <c r="J71" s="198"/>
      <c r="K71" s="199"/>
      <c r="L71" s="199"/>
      <c r="M71" s="199"/>
      <c r="N71" s="199"/>
      <c r="O71" s="199"/>
      <c r="P71" s="199"/>
      <c r="Q71" s="199"/>
      <c r="R71" s="199"/>
      <c r="S71" s="199"/>
      <c r="T71" s="199"/>
      <c r="U71" s="199"/>
      <c r="V71" s="199"/>
      <c r="W71" s="199"/>
      <c r="X71" s="199"/>
      <c r="Y71" s="199"/>
      <c r="Z71" s="199"/>
      <c r="AA71" s="199"/>
      <c r="AB71" s="199"/>
    </row>
    <row r="72" spans="1:28" x14ac:dyDescent="0.3">
      <c r="A72" s="178" t="s">
        <v>669</v>
      </c>
      <c r="B72" s="179">
        <f>'Census demographics'!B71</f>
        <v>2095</v>
      </c>
      <c r="C72" s="189">
        <f>'Census demographics'!C71</f>
        <v>5.6985404120357529E-3</v>
      </c>
      <c r="D72" s="179">
        <f>'Census demographics'!D71</f>
        <v>5160</v>
      </c>
      <c r="E72" s="189">
        <f>'Census demographics'!E71</f>
        <v>3.3035713142451789E-3</v>
      </c>
      <c r="F72" s="201">
        <f>'Census demographics'!F71</f>
        <v>172.49636438793789</v>
      </c>
      <c r="G72" s="112"/>
      <c r="H72" s="112"/>
      <c r="I72" s="112"/>
      <c r="J72" s="198"/>
      <c r="K72" s="199"/>
      <c r="L72" s="199"/>
      <c r="M72" s="199"/>
      <c r="N72" s="199"/>
      <c r="O72" s="199"/>
      <c r="P72" s="199"/>
      <c r="Q72" s="199"/>
      <c r="R72" s="199"/>
      <c r="S72" s="199"/>
      <c r="T72" s="199"/>
      <c r="U72" s="199"/>
      <c r="V72" s="199"/>
      <c r="W72" s="199"/>
      <c r="X72" s="199"/>
      <c r="Y72" s="199"/>
      <c r="Z72" s="199"/>
      <c r="AA72" s="199"/>
      <c r="AB72" s="199"/>
    </row>
    <row r="73" spans="1:28" x14ac:dyDescent="0.3">
      <c r="A73" s="112"/>
      <c r="B73" s="112"/>
      <c r="C73" s="112"/>
      <c r="D73" s="112"/>
      <c r="E73" s="112"/>
      <c r="F73" s="112"/>
      <c r="G73" s="112"/>
      <c r="H73" s="112"/>
      <c r="I73" s="112"/>
      <c r="J73" s="198"/>
      <c r="K73" s="199"/>
      <c r="L73" s="199"/>
      <c r="M73" s="199"/>
      <c r="N73" s="199"/>
      <c r="O73" s="199"/>
      <c r="P73" s="199"/>
      <c r="Q73" s="199"/>
      <c r="R73" s="199"/>
      <c r="S73" s="199"/>
      <c r="T73" s="199"/>
      <c r="U73" s="199"/>
      <c r="V73" s="199"/>
      <c r="W73" s="199"/>
      <c r="X73" s="199"/>
      <c r="Y73" s="199"/>
      <c r="Z73" s="199"/>
      <c r="AA73" s="199"/>
      <c r="AB73" s="199"/>
    </row>
    <row r="74" spans="1:28" x14ac:dyDescent="0.3">
      <c r="A74" s="112"/>
      <c r="B74" s="112"/>
      <c r="C74" s="112"/>
      <c r="D74" s="112"/>
      <c r="E74" s="112"/>
      <c r="F74" s="112"/>
      <c r="G74" s="112"/>
      <c r="H74" s="112"/>
      <c r="I74" s="112"/>
      <c r="J74" s="198"/>
      <c r="K74" s="199"/>
      <c r="L74" s="199"/>
      <c r="M74" s="199"/>
      <c r="N74" s="199"/>
      <c r="O74" s="199"/>
      <c r="P74" s="199"/>
      <c r="Q74" s="199"/>
      <c r="R74" s="199"/>
      <c r="S74" s="199"/>
      <c r="T74" s="199"/>
      <c r="U74" s="199"/>
      <c r="V74" s="199"/>
      <c r="W74" s="199"/>
      <c r="X74" s="199"/>
      <c r="Y74" s="199"/>
      <c r="Z74" s="199"/>
      <c r="AA74" s="199"/>
      <c r="AB74" s="199"/>
    </row>
    <row r="75" spans="1:28" x14ac:dyDescent="0.3">
      <c r="G75" s="112"/>
      <c r="H75" s="112"/>
      <c r="I75" s="112"/>
      <c r="J75" s="198"/>
      <c r="K75" s="199"/>
      <c r="L75" s="199"/>
      <c r="M75" s="199"/>
      <c r="N75" s="199"/>
      <c r="O75" s="199"/>
      <c r="P75" s="199"/>
      <c r="Q75" s="199"/>
      <c r="R75" s="199"/>
      <c r="S75" s="199"/>
      <c r="T75" s="199"/>
      <c r="U75" s="199"/>
      <c r="V75" s="199"/>
      <c r="W75" s="199"/>
      <c r="X75" s="199"/>
      <c r="Y75" s="199"/>
      <c r="Z75" s="199"/>
      <c r="AA75" s="199"/>
      <c r="AB75" s="199"/>
    </row>
    <row r="76" spans="1:28" x14ac:dyDescent="0.3">
      <c r="A76" s="196" t="s">
        <v>650</v>
      </c>
      <c r="B76" s="112"/>
      <c r="C76" s="112"/>
      <c r="D76" s="112"/>
      <c r="E76" s="112"/>
      <c r="F76" s="112"/>
      <c r="G76" s="112"/>
      <c r="H76" s="112"/>
      <c r="I76" s="112"/>
      <c r="J76" s="198"/>
      <c r="K76" s="199"/>
      <c r="L76" s="199"/>
      <c r="M76" s="199"/>
      <c r="N76" s="199"/>
      <c r="O76" s="199"/>
      <c r="P76" s="199"/>
      <c r="Q76" s="199"/>
      <c r="R76" s="199"/>
      <c r="S76" s="199"/>
      <c r="T76" s="199"/>
      <c r="U76" s="199"/>
      <c r="V76" s="199"/>
      <c r="W76" s="199"/>
      <c r="X76" s="199"/>
      <c r="Y76" s="199"/>
      <c r="Z76" s="199"/>
      <c r="AA76" s="199"/>
      <c r="AB76" s="199"/>
    </row>
    <row r="77" spans="1:28" x14ac:dyDescent="0.3">
      <c r="A77" s="175" t="s">
        <v>651</v>
      </c>
      <c r="B77" s="176" t="s">
        <v>369</v>
      </c>
      <c r="C77" s="176"/>
      <c r="D77" s="176" t="s">
        <v>370</v>
      </c>
      <c r="E77" s="176"/>
      <c r="F77" s="112"/>
      <c r="G77" s="112"/>
      <c r="H77" s="112"/>
      <c r="I77" s="112"/>
      <c r="J77" s="198"/>
      <c r="K77" s="199"/>
      <c r="L77" s="199"/>
      <c r="M77" s="199"/>
      <c r="N77" s="199"/>
      <c r="O77" s="199"/>
      <c r="P77" s="199"/>
      <c r="Q77" s="199"/>
      <c r="R77" s="199"/>
      <c r="S77" s="199"/>
      <c r="T77" s="199"/>
      <c r="U77" s="199"/>
      <c r="V77" s="199"/>
      <c r="W77" s="199"/>
      <c r="X77" s="199"/>
      <c r="Y77" s="199"/>
      <c r="Z77" s="199"/>
      <c r="AA77" s="199"/>
      <c r="AB77" s="199"/>
    </row>
    <row r="78" spans="1:28" x14ac:dyDescent="0.3">
      <c r="A78" s="175"/>
      <c r="B78" s="177" t="s">
        <v>74</v>
      </c>
      <c r="C78" s="177" t="s">
        <v>75</v>
      </c>
      <c r="D78" s="177" t="s">
        <v>74</v>
      </c>
      <c r="E78" s="177" t="s">
        <v>75</v>
      </c>
      <c r="F78" s="112"/>
      <c r="G78" s="112"/>
      <c r="H78" s="112"/>
      <c r="I78" s="112"/>
      <c r="J78" s="112"/>
      <c r="K78" s="112"/>
      <c r="L78" s="112"/>
      <c r="M78" s="199"/>
      <c r="N78" s="199"/>
      <c r="O78" s="199"/>
      <c r="P78" s="199"/>
      <c r="Q78" s="199"/>
      <c r="R78" s="199"/>
      <c r="S78" s="199"/>
      <c r="T78" s="199"/>
      <c r="U78" s="199"/>
      <c r="V78" s="199"/>
      <c r="W78" s="199"/>
      <c r="X78" s="199"/>
      <c r="Y78" s="199"/>
      <c r="Z78" s="199"/>
      <c r="AA78" s="199"/>
      <c r="AB78" s="199"/>
    </row>
    <row r="79" spans="1:28" x14ac:dyDescent="0.3">
      <c r="A79" s="178" t="str">
        <f>INDEX($A$55:$A$72,MATCH(LARGE($C$55:$C$72,1),$C$55:$C$72,0))</f>
        <v>White English, Welsh, Scottish, Northern Irish or British</v>
      </c>
      <c r="B79" s="179">
        <f>VLOOKUP($A79,$A$55:$F$72,2,FALSE)</f>
        <v>264132</v>
      </c>
      <c r="C79" s="189">
        <f>VLOOKUP($A79,$A$55:$F$72,3,FALSE)</f>
        <v>0.71845674277414195</v>
      </c>
      <c r="D79" s="179">
        <f>VLOOKUP($A79,$A$55:$F$72,4,FALSE)</f>
        <v>1288038</v>
      </c>
      <c r="E79" s="189">
        <f>VLOOKUP($A79,$A$55:$F$72,5,FALSE)</f>
        <v>0.8246367031894829</v>
      </c>
      <c r="F79" s="112"/>
      <c r="G79" s="112"/>
      <c r="H79" s="112"/>
      <c r="I79" s="112"/>
      <c r="J79" s="112"/>
      <c r="K79" s="112"/>
      <c r="L79" s="112"/>
      <c r="M79" s="199"/>
      <c r="N79" s="199"/>
      <c r="O79" s="199"/>
      <c r="P79" s="199"/>
      <c r="Q79" s="199"/>
      <c r="R79" s="199"/>
      <c r="S79" s="199"/>
      <c r="T79" s="199"/>
      <c r="U79" s="199"/>
      <c r="V79" s="199"/>
      <c r="W79" s="199"/>
      <c r="X79" s="199"/>
      <c r="Y79" s="199"/>
      <c r="Z79" s="199"/>
      <c r="AA79" s="199"/>
      <c r="AB79" s="199"/>
    </row>
    <row r="80" spans="1:28" x14ac:dyDescent="0.3">
      <c r="A80" s="178" t="str">
        <f>INDEX($A$55:$A$72,MATCH(LARGE($C$55:$C$72,2),$C$55:$C$72,0))</f>
        <v>Other White ethnic groups</v>
      </c>
      <c r="B80" s="179">
        <f>VLOOKUP($A80,$A$55:$F$72,2,FALSE)</f>
        <v>29716</v>
      </c>
      <c r="C80" s="189">
        <f>VLOOKUP($A80,$A$55:$F$72,3,FALSE)</f>
        <v>8.0829511639166796E-2</v>
      </c>
      <c r="D80" s="179">
        <f>VLOOKUP($A80,$A$55:$F$72,4,FALSE)</f>
        <v>88342</v>
      </c>
      <c r="E80" s="189">
        <f>VLOOKUP($A80,$A$55:$F$72,5,FALSE)</f>
        <v>5.6558933535474337E-2</v>
      </c>
      <c r="F80" s="112"/>
      <c r="G80" s="112"/>
      <c r="H80" s="112"/>
      <c r="I80" s="172"/>
      <c r="J80" s="172"/>
      <c r="K80" s="172"/>
      <c r="L80" s="172"/>
      <c r="M80" s="199"/>
      <c r="N80" s="199"/>
      <c r="O80" s="199"/>
      <c r="P80" s="199"/>
      <c r="Q80" s="199"/>
      <c r="R80" s="199"/>
      <c r="S80" s="199"/>
      <c r="T80" s="199"/>
      <c r="U80" s="199"/>
      <c r="V80" s="199"/>
      <c r="W80" s="199"/>
      <c r="X80" s="199"/>
      <c r="Y80" s="199"/>
      <c r="Z80" s="199"/>
      <c r="AA80" s="199"/>
      <c r="AB80" s="199"/>
    </row>
    <row r="81" spans="1:28" x14ac:dyDescent="0.3">
      <c r="A81" s="178" t="str">
        <f>INDEX($A$55:$A$72,MATCH(LARGE($C$55:$C$72,3),$C$55:$C$72,0))</f>
        <v>Black African</v>
      </c>
      <c r="B81" s="179">
        <f>VLOOKUP($A81,$A$55:$F$72,2,FALSE)</f>
        <v>14387</v>
      </c>
      <c r="C81" s="189">
        <f>VLOOKUP($A81,$A$55:$F$72,3,FALSE)</f>
        <v>3.913360425200877E-2</v>
      </c>
      <c r="D81" s="179">
        <f>VLOOKUP($A81,$A$55:$F$72,4,FALSE)</f>
        <v>26004</v>
      </c>
      <c r="E81" s="189">
        <f>VLOOKUP($A81,$A$55:$F$72,5,FALSE)</f>
        <v>1.6648462878998377E-2</v>
      </c>
      <c r="F81" s="112"/>
      <c r="G81" s="112"/>
      <c r="H81" s="112"/>
      <c r="I81" s="172"/>
      <c r="J81" s="172"/>
      <c r="K81" s="172"/>
      <c r="L81" s="172"/>
      <c r="M81" s="199"/>
      <c r="N81" s="199"/>
      <c r="O81" s="199"/>
      <c r="P81" s="199"/>
      <c r="Q81" s="199"/>
      <c r="R81" s="199"/>
      <c r="S81" s="199"/>
      <c r="T81" s="199"/>
      <c r="U81" s="199"/>
      <c r="V81" s="199"/>
      <c r="W81" s="199"/>
      <c r="X81" s="199"/>
      <c r="Y81" s="199"/>
      <c r="Z81" s="199"/>
      <c r="AA81" s="199"/>
      <c r="AB81" s="199"/>
    </row>
    <row r="82" spans="1:28" x14ac:dyDescent="0.3">
      <c r="A82" s="178" t="str">
        <f>INDEX($A$55:$A$72,MATCH(LARGE($C$55:$C$72,4),$C$55:$C$72,0))</f>
        <v>Pakistani</v>
      </c>
      <c r="B82" s="179">
        <f>VLOOKUP($A82,$A$55:$F$72,2,FALSE)</f>
        <v>7088</v>
      </c>
      <c r="C82" s="189">
        <f>VLOOKUP($A82,$A$55:$F$72,3,FALSE)</f>
        <v>1.9279835055135759E-2</v>
      </c>
      <c r="D82" s="179">
        <f>VLOOKUP($A82,$A$55:$F$72,4,FALSE)</f>
        <v>15579</v>
      </c>
      <c r="E82" s="189">
        <f>VLOOKUP($A82,$A$55:$F$72,5,FALSE)</f>
        <v>9.9740964156251246E-3</v>
      </c>
      <c r="F82" s="112"/>
      <c r="G82" s="112"/>
      <c r="H82" s="112"/>
      <c r="I82" s="172"/>
      <c r="J82" s="172"/>
      <c r="K82" s="172"/>
      <c r="L82" s="172"/>
      <c r="M82" s="199"/>
      <c r="N82" s="199"/>
      <c r="O82" s="199"/>
      <c r="P82" s="199"/>
      <c r="Q82" s="199"/>
      <c r="R82" s="199"/>
      <c r="S82" s="199"/>
      <c r="T82" s="199"/>
      <c r="U82" s="199"/>
      <c r="V82" s="199"/>
      <c r="W82" s="199"/>
      <c r="X82" s="199"/>
      <c r="Y82" s="199"/>
      <c r="Z82" s="199"/>
      <c r="AA82" s="199"/>
      <c r="AB82" s="199"/>
    </row>
    <row r="83" spans="1:28" x14ac:dyDescent="0.3">
      <c r="A83" s="178" t="str">
        <f>INDEX($A$55:$A$72,MATCH(LARGE($C$55:$C$72,5),$C$55:$C$72,0))</f>
        <v>Mixed White and Black Caribbean</v>
      </c>
      <c r="B83" s="179">
        <f>VLOOKUP($A83,$A$55:$F$72,2,FALSE)</f>
        <v>5773</v>
      </c>
      <c r="C83" s="189">
        <f>VLOOKUP($A83,$A$55:$F$72,3,FALSE)</f>
        <v>1.5702946920612124E-2</v>
      </c>
      <c r="D83" s="179">
        <f>VLOOKUP($A83,$A$55:$F$72,4,FALSE)</f>
        <v>15764</v>
      </c>
      <c r="E83" s="189">
        <f>VLOOKUP($A83,$A$55:$F$72,5,FALSE)</f>
        <v>1.0092538410418798E-2</v>
      </c>
      <c r="F83" s="112"/>
    </row>
    <row r="86" spans="1:28" x14ac:dyDescent="0.3">
      <c r="A86" s="196" t="s">
        <v>858</v>
      </c>
    </row>
    <row r="88" spans="1:28" s="112" customFormat="1" x14ac:dyDescent="0.3">
      <c r="A88" s="185" t="s">
        <v>98</v>
      </c>
      <c r="B88" s="176" t="s">
        <v>369</v>
      </c>
      <c r="C88" s="176" t="s">
        <v>370</v>
      </c>
    </row>
    <row r="89" spans="1:28" s="112" customFormat="1" ht="15" customHeight="1" x14ac:dyDescent="0.3">
      <c r="A89" s="153" t="s">
        <v>5</v>
      </c>
      <c r="B89" s="180">
        <f>IF('Census demographics'!C22=0,0,IF('Census demographics'!C22&lt;0.005,"&lt;1%",'Census demographics'!C22))</f>
        <v>5.3150388254947736E-2</v>
      </c>
      <c r="C89" s="180">
        <f>IF('Census demographics'!E22=0,0,IF('Census demographics'!E22&lt;0.005,"&lt;1%",'Census demographics'!E22))</f>
        <v>5.3043177150040546E-2</v>
      </c>
    </row>
    <row r="90" spans="1:28" s="112" customFormat="1" x14ac:dyDescent="0.3">
      <c r="A90" s="153" t="s">
        <v>6</v>
      </c>
      <c r="B90" s="180">
        <f>IF('Census demographics'!C23=0,0,IF('Census demographics'!C23&lt;0.005,"&lt;1%",'Census demographics'!C23))</f>
        <v>5.3444232223800271E-2</v>
      </c>
      <c r="C90" s="180">
        <f>IF('Census demographics'!E23=0,0,IF('Census demographics'!E23&lt;0.005,"&lt;1%",'Census demographics'!E23))</f>
        <v>5.7163302782828988E-2</v>
      </c>
    </row>
    <row r="91" spans="1:28" s="112" customFormat="1" x14ac:dyDescent="0.3">
      <c r="A91" s="153" t="s">
        <v>7</v>
      </c>
      <c r="B91" s="180">
        <f>IF('Census demographics'!C24=0,0,IF('Census demographics'!C24&lt;0.005,"&lt;1%",'Census demographics'!C24))</f>
        <v>5.0924792268638684E-2</v>
      </c>
      <c r="C91" s="180">
        <f>IF('Census demographics'!E24=0,0,IF('Census demographics'!E24&lt;0.005,"&lt;1%",'Census demographics'!E24))</f>
        <v>5.7289396421116905E-2</v>
      </c>
      <c r="D91" s="202"/>
    </row>
    <row r="92" spans="1:28" s="112" customFormat="1" x14ac:dyDescent="0.3">
      <c r="A92" s="153" t="s">
        <v>185</v>
      </c>
      <c r="B92" s="180">
        <f>IF('Census demographics'!C25=0,0,IF('Census demographics'!C25&lt;0.005,"&lt;1%",'Census demographics'!C25))</f>
        <v>6.8041203454299107E-2</v>
      </c>
      <c r="C92" s="180">
        <f>IF('Census demographics'!E25=0,0,IF('Census demographics'!E25&lt;0.005,"&lt;1%",'Census demographics'!E25))</f>
        <v>5.9010542580285485E-2</v>
      </c>
      <c r="D92" s="202"/>
    </row>
    <row r="93" spans="1:28" s="112" customFormat="1" x14ac:dyDescent="0.3">
      <c r="A93" s="178" t="s">
        <v>8</v>
      </c>
      <c r="B93" s="180">
        <f>IF('Census demographics'!C26=0,0,IF('Census demographics'!C26&lt;0.005,"&lt;1%",'Census demographics'!C26))</f>
        <v>0.11060232572059792</v>
      </c>
      <c r="C93" s="180">
        <f>IF('Census demographics'!E26=0,0,IF('Census demographics'!E26&lt;0.005,"&lt;1%",'Census demographics'!E26))</f>
        <v>7.2516643400150155E-2</v>
      </c>
    </row>
    <row r="94" spans="1:28" s="112" customFormat="1" x14ac:dyDescent="0.3">
      <c r="A94" s="178" t="s">
        <v>9</v>
      </c>
      <c r="B94" s="180">
        <f>IF('Census demographics'!C27=0,0,IF('Census demographics'!C27&lt;0.005,"&lt;1%",'Census demographics'!C27))</f>
        <v>0.10034771536314217</v>
      </c>
      <c r="C94" s="180">
        <f>IF('Census demographics'!E27=0,0,IF('Census demographics'!E27&lt;0.005,"&lt;1%",'Census demographics'!E27))</f>
        <v>7.0446019441462795E-2</v>
      </c>
    </row>
    <row r="95" spans="1:28" s="112" customFormat="1" x14ac:dyDescent="0.3">
      <c r="A95" s="178" t="s">
        <v>10</v>
      </c>
      <c r="B95" s="180">
        <f>IF('Census demographics'!C28=0,0,IF('Census demographics'!C28&lt;0.005,"&lt;1%",'Census demographics'!C28))</f>
        <v>9.617948424941912E-2</v>
      </c>
      <c r="C95" s="180">
        <f>IF('Census demographics'!E28=0,0,IF('Census demographics'!E28&lt;0.005,"&lt;1%",'Census demographics'!E28))</f>
        <v>7.3213038722268198E-2</v>
      </c>
    </row>
    <row r="96" spans="1:28" s="112" customFormat="1" x14ac:dyDescent="0.3">
      <c r="A96" s="178" t="s">
        <v>11</v>
      </c>
      <c r="B96" s="180">
        <f>IF('Census demographics'!C29=0,0,IF('Census demographics'!C29&lt;0.005,"&lt;1%",'Census demographics'!C29))</f>
        <v>7.9781358320953802E-2</v>
      </c>
      <c r="C96" s="180">
        <f>IF('Census demographics'!E29=0,0,IF('Census demographics'!E29&lt;0.005,"&lt;1%",'Census demographics'!E29))</f>
        <v>6.7580429499254635E-2</v>
      </c>
    </row>
    <row r="97" spans="1:3" s="112" customFormat="1" x14ac:dyDescent="0.3">
      <c r="A97" s="178" t="s">
        <v>12</v>
      </c>
      <c r="B97" s="180">
        <f>IF('Census demographics'!C30=0,0,IF('Census demographics'!C30&lt;0.005,"&lt;1%",'Census demographics'!C30))</f>
        <v>6.5127250763178088E-2</v>
      </c>
      <c r="C97" s="180">
        <f>IF('Census demographics'!E30=0,0,IF('Census demographics'!E30&lt;0.005,"&lt;1%",'Census demographics'!E30))</f>
        <v>6.1691152515056032E-2</v>
      </c>
    </row>
    <row r="98" spans="1:3" s="112" customFormat="1" x14ac:dyDescent="0.3">
      <c r="A98" s="178" t="s">
        <v>13</v>
      </c>
      <c r="B98" s="180">
        <f>IF('Census demographics'!C31=0,0,IF('Census demographics'!C31&lt;0.005,"&lt;1%",'Census demographics'!C31))</f>
        <v>5.5846678746918718E-2</v>
      </c>
      <c r="C98" s="180">
        <f>IF('Census demographics'!E31=0,0,IF('Census demographics'!E31&lt;0.005,"&lt;1%",'Census demographics'!E31))</f>
        <v>6.1330153469399247E-2</v>
      </c>
    </row>
    <row r="99" spans="1:3" s="112" customFormat="1" x14ac:dyDescent="0.3">
      <c r="A99" s="178" t="s">
        <v>14</v>
      </c>
      <c r="B99" s="180">
        <f>IF('Census demographics'!C32=0,0,IF('Census demographics'!C32&lt;0.005,"&lt;1%",'Census demographics'!C32))</f>
        <v>5.4015595496569098E-2</v>
      </c>
      <c r="C99" s="180">
        <f>IF('Census demographics'!E32=0,0,IF('Census demographics'!E32&lt;0.005,"&lt;1%",'Census demographics'!E32))</f>
        <v>6.6065385632109966E-2</v>
      </c>
    </row>
    <row r="100" spans="1:3" s="112" customFormat="1" x14ac:dyDescent="0.3">
      <c r="A100" s="178" t="s">
        <v>15</v>
      </c>
      <c r="B100" s="180">
        <f>IF('Census demographics'!C33=0,0,IF('Census demographics'!C33&lt;0.005,"&lt;1%",'Census demographics'!C33))</f>
        <v>5.0845889721446803E-2</v>
      </c>
      <c r="C100" s="180">
        <f>IF('Census demographics'!E33=0,0,IF('Census demographics'!E33&lt;0.005,"&lt;1%",'Census demographics'!E33))</f>
        <v>6.5242256602474125E-2</v>
      </c>
    </row>
    <row r="101" spans="1:3" s="112" customFormat="1" x14ac:dyDescent="0.3">
      <c r="A101" s="178" t="s">
        <v>16</v>
      </c>
      <c r="B101" s="180">
        <f>IF('Census demographics'!C34=0,0,IF('Census demographics'!C34&lt;0.005,"&lt;1%",'Census demographics'!C34))</f>
        <v>4.1426558053229291E-2</v>
      </c>
      <c r="C101" s="180">
        <f>IF('Census demographics'!E34=0,0,IF('Census demographics'!E34&lt;0.005,"&lt;1%",'Census demographics'!E34))</f>
        <v>5.4487173332667664E-2</v>
      </c>
    </row>
    <row r="102" spans="1:3" s="112" customFormat="1" x14ac:dyDescent="0.3">
      <c r="A102" s="178" t="s">
        <v>17</v>
      </c>
      <c r="B102" s="180">
        <f>IF('Census demographics'!C35=0,0,IF('Census demographics'!C35&lt;0.005,"&lt;1%",'Census demographics'!C35))</f>
        <v>3.4006997839702673E-2</v>
      </c>
      <c r="C102" s="180">
        <f>IF('Census demographics'!E35=0,0,IF('Census demographics'!E35&lt;0.005,"&lt;1%",'Census demographics'!E35))</f>
        <v>4.6713532535679059E-2</v>
      </c>
    </row>
    <row r="103" spans="1:3" s="112" customFormat="1" x14ac:dyDescent="0.3">
      <c r="A103" s="178" t="s">
        <v>18</v>
      </c>
      <c r="B103" s="180">
        <f>IF('Census demographics'!C36=0,0,IF('Census demographics'!C36&lt;0.005,"&lt;1%",'Census demographics'!C36))</f>
        <v>3.1444025444711081E-2</v>
      </c>
      <c r="C103" s="180">
        <f>IF('Census demographics'!E36=0,0,IF('Census demographics'!E36&lt;0.005,"&lt;1%",'Census demographics'!E36))</f>
        <v>4.7879738672534825E-2</v>
      </c>
    </row>
    <row r="104" spans="1:3" s="112" customFormat="1" x14ac:dyDescent="0.3">
      <c r="A104" s="178" t="s">
        <v>19</v>
      </c>
      <c r="B104" s="180">
        <f>IF('Census demographics'!C37=0,0,IF('Census demographics'!C37&lt;0.005,"&lt;1%",'Census demographics'!C37))</f>
        <v>2.2095433991217332E-2</v>
      </c>
      <c r="C104" s="180">
        <f>IF('Census demographics'!E37=0,0,IF('Census demographics'!E37&lt;0.005,"&lt;1%",'Census demographics'!E37))</f>
        <v>3.6031417158079816E-2</v>
      </c>
    </row>
    <row r="105" spans="1:3" s="112" customFormat="1" x14ac:dyDescent="0.3">
      <c r="A105" s="178" t="s">
        <v>20</v>
      </c>
      <c r="B105" s="180">
        <f>IF('Census demographics'!C38=0,0,IF('Census demographics'!C38&lt;0.005,"&lt;1%",'Census demographics'!C38))</f>
        <v>1.6093398849655279E-2</v>
      </c>
      <c r="C105" s="180">
        <f>IF('Census demographics'!E38=0,0,IF('Census demographics'!E38&lt;0.005,"&lt;1%",'Census demographics'!E38))</f>
        <v>2.51892844730086E-2</v>
      </c>
    </row>
    <row r="106" spans="1:3" s="112" customFormat="1" x14ac:dyDescent="0.3">
      <c r="A106" s="178" t="s">
        <v>138</v>
      </c>
      <c r="B106" s="180">
        <f>IF('Census demographics'!C39=0,0,IF('Census demographics'!C39&lt;0.005,"&lt;1%",'Census demographics'!C39))</f>
        <v>1.6626671237572849E-2</v>
      </c>
      <c r="C106" s="180">
        <f>IF('Census demographics'!E39=0,0,IF('Census demographics'!E39&lt;0.005,"&lt;1%",'Census demographics'!E39))</f>
        <v>2.5107355611582949E-2</v>
      </c>
    </row>
    <row r="107" spans="1:3" s="112" customFormat="1" x14ac:dyDescent="0.3">
      <c r="A107" s="203"/>
      <c r="B107" s="203"/>
      <c r="C107" s="203"/>
    </row>
    <row r="108" spans="1:3" s="112" customFormat="1" ht="15" customHeight="1" x14ac:dyDescent="0.3">
      <c r="A108" s="185" t="s">
        <v>140</v>
      </c>
      <c r="B108" s="176" t="s">
        <v>369</v>
      </c>
      <c r="C108" s="176" t="s">
        <v>370</v>
      </c>
    </row>
    <row r="109" spans="1:3" s="112" customFormat="1" ht="15" customHeight="1" x14ac:dyDescent="0.3">
      <c r="A109" s="178" t="s">
        <v>186</v>
      </c>
      <c r="B109" s="180">
        <f>IF('Census demographics'!C45=0,0,IF('Census demographics'!C45&lt;0.005,"&lt;1%",'Census demographics'!C45))</f>
        <v>6.420990213198853E-2</v>
      </c>
      <c r="C109" s="180">
        <f>IF('Census demographics'!E45=0,0,IF('Census demographics'!E45&lt;0.005,"&lt;1%",'Census demographics'!E45))</f>
        <v>4.3142336546846051E-2</v>
      </c>
    </row>
    <row r="110" spans="1:3" s="112" customFormat="1" x14ac:dyDescent="0.3">
      <c r="A110" s="178" t="s">
        <v>187</v>
      </c>
      <c r="B110" s="180">
        <f>IF('Census demographics'!C46=0,0,IF('Census demographics'!C46&lt;0.005,"&lt;1%",'Census demographics'!C46))</f>
        <v>5.9147857403206418E-2</v>
      </c>
      <c r="C110" s="180">
        <f>IF('Census demographics'!E46=0,0,IF('Census demographics'!E46&lt;0.005,"&lt;1%",'Census demographics'!E46))</f>
        <v>2.5993216154719816E-2</v>
      </c>
    </row>
    <row r="111" spans="1:3" s="112" customFormat="1" ht="15" customHeight="1" x14ac:dyDescent="0.3">
      <c r="A111" s="178" t="s">
        <v>188</v>
      </c>
      <c r="B111" s="180">
        <f>IF('Census demographics'!C47=0,0,IF('Census demographics'!C47&lt;0.005,"&lt;1%",'Census demographics'!C47))</f>
        <v>4.5348957398310297E-2</v>
      </c>
      <c r="C111" s="180">
        <f>IF('Census demographics'!E47=0,0,IF('Census demographics'!E47&lt;0.005,"&lt;1%",'Census demographics'!E47))</f>
        <v>2.9237886585067603E-2</v>
      </c>
    </row>
    <row r="112" spans="1:3" s="112" customFormat="1" ht="15" customHeight="1" x14ac:dyDescent="0.3">
      <c r="A112" s="178" t="s">
        <v>33</v>
      </c>
      <c r="B112" s="180">
        <f>IF('Census demographics'!C48=0,0,IF('Census demographics'!C48&lt;0.005,"&lt;1%",'Census demographics'!C48))</f>
        <v>0.81191824566557325</v>
      </c>
      <c r="C112" s="180">
        <f>IF('Census demographics'!E48=0,0,IF('Census demographics'!E48&lt;0.005,"&lt;1%",'Census demographics'!E48))</f>
        <v>0.89001220272659876</v>
      </c>
    </row>
    <row r="113" spans="1:3" s="112" customFormat="1" ht="15" customHeight="1" x14ac:dyDescent="0.3">
      <c r="A113" s="178" t="s">
        <v>189</v>
      </c>
      <c r="B113" s="180">
        <f>IF('Census demographics'!C49=0,0,IF('Census demographics'!C49&lt;0.005,"&lt;1%",'Census demographics'!C49))</f>
        <v>1.9375037400921558E-2</v>
      </c>
      <c r="C113" s="180">
        <f>IF('Census demographics'!E49=0,0,IF('Census demographics'!E49&lt;0.005,"&lt;1%",'Census demographics'!E49))</f>
        <v>1.1614357986767788E-2</v>
      </c>
    </row>
    <row r="114" spans="1:3" s="112" customFormat="1" ht="15" customHeight="1" x14ac:dyDescent="0.3">
      <c r="A114" s="203"/>
      <c r="B114" s="203"/>
      <c r="C114" s="203"/>
    </row>
    <row r="115" spans="1:3" s="112" customFormat="1" ht="15" customHeight="1" x14ac:dyDescent="0.3">
      <c r="A115" s="185" t="s">
        <v>227</v>
      </c>
      <c r="B115" s="176" t="s">
        <v>369</v>
      </c>
      <c r="C115" s="176" t="s">
        <v>370</v>
      </c>
    </row>
    <row r="116" spans="1:3" s="112" customFormat="1" ht="15" customHeight="1" x14ac:dyDescent="0.3">
      <c r="A116" s="178" t="s">
        <v>190</v>
      </c>
      <c r="B116" s="180" t="str">
        <f>IF('Census demographics'!C54=0,0,IF('Census demographics'!C54&lt;0.005,"&lt;1%",'Census demographics'!C54))</f>
        <v>&lt;1%</v>
      </c>
      <c r="C116" s="180" t="str">
        <f>IF('Census demographics'!E54=0,0,IF('Census demographics'!E54&lt;0.005,"&lt;1%",'Census demographics'!E54))</f>
        <v>&lt;1%</v>
      </c>
    </row>
    <row r="117" spans="1:3" s="112" customFormat="1" ht="15" customHeight="1" x14ac:dyDescent="0.3">
      <c r="A117" s="178" t="s">
        <v>191</v>
      </c>
      <c r="B117" s="180">
        <f>IF('Census demographics'!C55=0,0,IF('Census demographics'!C55&lt;0.005,"&lt;1%",'Census demographics'!C55))</f>
        <v>1.3069922042879137E-2</v>
      </c>
      <c r="C117" s="180">
        <f>IF('Census demographics'!E55=0,0,IF('Census demographics'!E55&lt;0.005,"&lt;1%",'Census demographics'!E55))</f>
        <v>7.549556770848672E-3</v>
      </c>
    </row>
    <row r="118" spans="1:3" s="112" customFormat="1" ht="15" customHeight="1" x14ac:dyDescent="0.3">
      <c r="A118" s="178" t="s">
        <v>192</v>
      </c>
      <c r="B118" s="180">
        <f>IF('Census demographics'!C56=0,0,IF('Census demographics'!C56&lt;0.005,"&lt;1%",'Census demographics'!C56))</f>
        <v>1.5602304440781421E-2</v>
      </c>
      <c r="C118" s="180">
        <f>IF('Census demographics'!E56=0,0,IF('Census demographics'!E56&lt;0.005,"&lt;1%",'Census demographics'!E56))</f>
        <v>1.2017060769066281E-2</v>
      </c>
    </row>
    <row r="119" spans="1:3" s="112" customFormat="1" ht="15" customHeight="1" x14ac:dyDescent="0.3">
      <c r="A119" s="178" t="s">
        <v>193</v>
      </c>
      <c r="B119" s="180">
        <f>IF('Census demographics'!C57=0,0,IF('Census demographics'!C57&lt;0.005,"&lt;1%",'Census demographics'!C57))</f>
        <v>1.9279835055135759E-2</v>
      </c>
      <c r="C119" s="180">
        <f>IF('Census demographics'!E57=0,0,IF('Census demographics'!E57&lt;0.005,"&lt;1%",'Census demographics'!E57))</f>
        <v>9.9740964156251246E-3</v>
      </c>
    </row>
    <row r="120" spans="1:3" s="112" customFormat="1" ht="15" customHeight="1" x14ac:dyDescent="0.3">
      <c r="A120" s="178" t="s">
        <v>194</v>
      </c>
      <c r="B120" s="180">
        <f>IF('Census demographics'!C58=0,0,IF('Census demographics'!C58&lt;0.005,"&lt;1%",'Census demographics'!C58))</f>
        <v>1.1614686185867619E-2</v>
      </c>
      <c r="C120" s="180">
        <f>IF('Census demographics'!E58=0,0,IF('Census demographics'!E58&lt;0.005,"&lt;1%",'Census demographics'!E58))</f>
        <v>9.0649740772088157E-3</v>
      </c>
    </row>
    <row r="121" spans="1:3" s="112" customFormat="1" ht="15" customHeight="1" x14ac:dyDescent="0.3">
      <c r="A121" s="178" t="s">
        <v>195</v>
      </c>
      <c r="B121" s="180">
        <f>IF('Census demographics'!C59=0,0,IF('Census demographics'!C59&lt;0.005,"&lt;1%",'Census demographics'!C59))</f>
        <v>3.913360425200877E-2</v>
      </c>
      <c r="C121" s="180">
        <f>IF('Census demographics'!E59=0,0,IF('Census demographics'!E59&lt;0.005,"&lt;1%",'Census demographics'!E59))</f>
        <v>1.6648462878998377E-2</v>
      </c>
    </row>
    <row r="122" spans="1:3" s="112" customFormat="1" ht="15" customHeight="1" x14ac:dyDescent="0.3">
      <c r="A122" s="178" t="s">
        <v>196</v>
      </c>
      <c r="B122" s="180">
        <f>IF('Census demographics'!C60=0,0,IF('Census demographics'!C60&lt;0.005,"&lt;1%",'Census demographics'!C60))</f>
        <v>1.4021945500737138E-2</v>
      </c>
      <c r="C122" s="180">
        <f>IF('Census demographics'!E60=0,0,IF('Census demographics'!E60&lt;0.005,"&lt;1%",'Census demographics'!E60))</f>
        <v>6.3965079458572832E-3</v>
      </c>
    </row>
    <row r="123" spans="1:3" s="112" customFormat="1" ht="15" customHeight="1" x14ac:dyDescent="0.3">
      <c r="A123" s="178" t="s">
        <v>197</v>
      </c>
      <c r="B123" s="180">
        <f>IF('Census demographics'!C61=0,0,IF('Census demographics'!C61&lt;0.005,"&lt;1%",'Census demographics'!C61))</f>
        <v>5.9923076504605072E-3</v>
      </c>
      <c r="C123" s="180" t="str">
        <f>IF('Census demographics'!E61=0,0,IF('Census demographics'!E61&lt;0.005,"&lt;1%",'Census demographics'!E61))</f>
        <v>&lt;1%</v>
      </c>
    </row>
    <row r="124" spans="1:3" s="112" customFormat="1" ht="15" customHeight="1" x14ac:dyDescent="0.3">
      <c r="A124" s="178" t="s">
        <v>525</v>
      </c>
      <c r="B124" s="180">
        <f>IF('Census demographics'!C62=0,0,IF('Census demographics'!C62&lt;0.005,"&lt;1%",'Census demographics'!C62))</f>
        <v>1.2403505622378535E-2</v>
      </c>
      <c r="C124" s="180">
        <f>IF('Census demographics'!E62=0,0,IF('Census demographics'!E62&lt;0.005,"&lt;1%",'Census demographics'!E62))</f>
        <v>8.2064296717043999E-3</v>
      </c>
    </row>
    <row r="125" spans="1:3" s="112" customFormat="1" ht="15" customHeight="1" x14ac:dyDescent="0.3">
      <c r="A125" s="178" t="s">
        <v>198</v>
      </c>
      <c r="B125" s="180">
        <f>IF('Census demographics'!C63=0,0,IF('Census demographics'!C63&lt;0.005,"&lt;1%",'Census demographics'!C63))</f>
        <v>5.6631795407438837E-3</v>
      </c>
      <c r="C125" s="180" t="str">
        <f>IF('Census demographics'!E63=0,0,IF('Census demographics'!E63&lt;0.005,"&lt;1%",'Census demographics'!E63))</f>
        <v>&lt;1%</v>
      </c>
    </row>
    <row r="126" spans="1:3" s="112" customFormat="1" ht="15" customHeight="1" x14ac:dyDescent="0.3">
      <c r="A126" s="178" t="s">
        <v>199</v>
      </c>
      <c r="B126" s="180">
        <f>IF('Census demographics'!C64=0,0,IF('Census demographics'!C64&lt;0.005,"&lt;1%",'Census demographics'!C64))</f>
        <v>1.5702946920612124E-2</v>
      </c>
      <c r="C126" s="180">
        <f>IF('Census demographics'!E64=0,0,IF('Census demographics'!E64&lt;0.005,"&lt;1%",'Census demographics'!E64))</f>
        <v>1.0092538410418798E-2</v>
      </c>
    </row>
    <row r="127" spans="1:3" s="112" customFormat="1" ht="15" customHeight="1" x14ac:dyDescent="0.3">
      <c r="A127" s="178" t="s">
        <v>200</v>
      </c>
      <c r="B127" s="180">
        <f>IF('Census demographics'!C65=0,0,IF('Census demographics'!C65&lt;0.005,"&lt;1%",'Census demographics'!C65))</f>
        <v>1.1579325314575751E-2</v>
      </c>
      <c r="C127" s="180">
        <f>IF('Census demographics'!E65=0,0,IF('Census demographics'!E65&lt;0.005,"&lt;1%",'Census demographics'!E65))</f>
        <v>7.1916698784721114E-3</v>
      </c>
    </row>
    <row r="128" spans="1:3" s="112" customFormat="1" x14ac:dyDescent="0.3">
      <c r="A128" s="178" t="s">
        <v>532</v>
      </c>
      <c r="B128" s="180">
        <f>IF('Census demographics'!C66=0,0,IF('Census demographics'!C66&lt;0.005,"&lt;1%",'Census demographics'!C66))</f>
        <v>0.71845674277414195</v>
      </c>
      <c r="C128" s="180">
        <f>IF('Census demographics'!E66=0,0,IF('Census demographics'!E66&lt;0.005,"&lt;1%",'Census demographics'!E66))</f>
        <v>0.8246367031894829</v>
      </c>
    </row>
    <row r="129" spans="1:7" s="112" customFormat="1" ht="15" customHeight="1" x14ac:dyDescent="0.3">
      <c r="A129" s="178" t="s">
        <v>201</v>
      </c>
      <c r="B129" s="180">
        <f>IF('Census demographics'!C67=0,0,IF('Census demographics'!C67&lt;0.005,"&lt;1%",'Census demographics'!C67))</f>
        <v>9.7732008116679994E-3</v>
      </c>
      <c r="C129" s="180">
        <f>IF('Census demographics'!E67=0,0,IF('Census demographics'!E67&lt;0.005,"&lt;1%",'Census demographics'!E67))</f>
        <v>6.4534881487580235E-3</v>
      </c>
    </row>
    <row r="130" spans="1:7" s="112" customFormat="1" ht="15" customHeight="1" x14ac:dyDescent="0.3">
      <c r="A130" s="178" t="s">
        <v>202</v>
      </c>
      <c r="B130" s="180" t="str">
        <f>IF('Census demographics'!C68=0,0,IF('Census demographics'!C68&lt;0.005,"&lt;1%",'Census demographics'!C68))</f>
        <v>&lt;1%</v>
      </c>
      <c r="C130" s="180" t="str">
        <f>IF('Census demographics'!E68=0,0,IF('Census demographics'!E68&lt;0.005,"&lt;1%",'Census demographics'!E68))</f>
        <v>&lt;1%</v>
      </c>
    </row>
    <row r="131" spans="1:7" s="112" customFormat="1" ht="15" customHeight="1" x14ac:dyDescent="0.3">
      <c r="A131" s="178" t="s">
        <v>203</v>
      </c>
      <c r="B131" s="180" t="str">
        <f>IF('Census demographics'!C69=0,0,IF('Census demographics'!C69&lt;0.005,"&lt;1%",'Census demographics'!C69))</f>
        <v>&lt;1%</v>
      </c>
      <c r="C131" s="180" t="str">
        <f>IF('Census demographics'!E69=0,0,IF('Census demographics'!E69&lt;0.005,"&lt;1%",'Census demographics'!E69))</f>
        <v>&lt;1%</v>
      </c>
    </row>
    <row r="132" spans="1:7" s="112" customFormat="1" ht="15" customHeight="1" x14ac:dyDescent="0.3">
      <c r="A132" s="178" t="s">
        <v>204</v>
      </c>
      <c r="B132" s="180">
        <f>IF('Census demographics'!C70=0,0,IF('Census demographics'!C70&lt;0.005,"&lt;1%",'Census demographics'!C70))</f>
        <v>8.0829511639166796E-2</v>
      </c>
      <c r="C132" s="180">
        <f>IF('Census demographics'!E70=0,0,IF('Census demographics'!E70&lt;0.005,"&lt;1%",'Census demographics'!E70))</f>
        <v>5.6558933535474337E-2</v>
      </c>
    </row>
    <row r="133" spans="1:7" s="112" customFormat="1" ht="15" customHeight="1" x14ac:dyDescent="0.3">
      <c r="A133" s="178" t="s">
        <v>205</v>
      </c>
      <c r="B133" s="180">
        <f>IF('Census demographics'!C71=0,0,IF('Census demographics'!C71&lt;0.005,"&lt;1%",'Census demographics'!C71))</f>
        <v>5.6985404120357529E-3</v>
      </c>
      <c r="C133" s="180" t="str">
        <f>IF('Census demographics'!E71=0,0,IF('Census demographics'!E71&lt;0.005,"&lt;1%",'Census demographics'!E71))</f>
        <v>&lt;1%</v>
      </c>
    </row>
    <row r="134" spans="1:7" s="112" customFormat="1" ht="15" customHeight="1" x14ac:dyDescent="0.3">
      <c r="A134" s="178" t="s">
        <v>206</v>
      </c>
      <c r="B134" s="180">
        <f>IF('Census demographics'!C72=0,0,IF('Census demographics'!C72&lt;0.005,"&lt;1%",'Census demographics'!C72))</f>
        <v>1.3676496988885806E-2</v>
      </c>
      <c r="C134" s="180">
        <f>IF('Census demographics'!E72=0,0,IF('Census demographics'!E72&lt;0.005,"&lt;1%",'Census demographics'!E72))</f>
        <v>8.3107866725226093E-3</v>
      </c>
    </row>
    <row r="135" spans="1:7" s="112" customFormat="1" ht="15" customHeight="1" x14ac:dyDescent="0.3">
      <c r="A135" s="203"/>
      <c r="B135" s="203"/>
      <c r="C135" s="203"/>
    </row>
    <row r="136" spans="1:7" s="112" customFormat="1" ht="15" customHeight="1" x14ac:dyDescent="0.3">
      <c r="A136" s="185" t="s">
        <v>101</v>
      </c>
      <c r="B136" s="176" t="s">
        <v>369</v>
      </c>
      <c r="C136" s="176" t="s">
        <v>370</v>
      </c>
    </row>
    <row r="137" spans="1:7" s="112" customFormat="1" x14ac:dyDescent="0.3">
      <c r="A137" s="153" t="s">
        <v>34</v>
      </c>
      <c r="B137" s="180">
        <f>IF('Census demographics'!C78=0,0,IF('Census demographics'!C78&lt;0.005,"&lt;1%",'Census demographics'!C78))</f>
        <v>6.3392062935065566E-2</v>
      </c>
      <c r="C137" s="180">
        <f>IF('Census demographics'!E78=0,0,IF('Census demographics'!E78&lt;0.005,"&lt;1%",'Census demographics'!E78))</f>
        <v>6.9909696054819989E-2</v>
      </c>
    </row>
    <row r="138" spans="1:7" s="112" customFormat="1" x14ac:dyDescent="0.3">
      <c r="A138" s="153" t="s">
        <v>35</v>
      </c>
      <c r="B138" s="180">
        <f>IF('Census demographics'!C79=0,0,IF('Census demographics'!C79&lt;0.005,"&lt;1%",'Census demographics'!C79))</f>
        <v>0.10188320997124725</v>
      </c>
      <c r="C138" s="180">
        <f>IF('Census demographics'!E79=0,0,IF('Census demographics'!E79&lt;0.005,"&lt;1%",'Census demographics'!E79))</f>
        <v>0.10419587492909994</v>
      </c>
    </row>
    <row r="139" spans="1:7" s="112" customFormat="1" x14ac:dyDescent="0.3">
      <c r="A139" s="153" t="s">
        <v>207</v>
      </c>
      <c r="B139" s="180">
        <f>IF('Census demographics'!C80=0,0,IF('Census demographics'!C80&lt;0.005,"&lt;1%",'Census demographics'!C80))</f>
        <v>7.1571771708054857E-2</v>
      </c>
      <c r="C139" s="180">
        <f>IF('Census demographics'!E80=0,0,IF('Census demographics'!E80&lt;0.005,"&lt;1%",'Census demographics'!E80))</f>
        <v>7.4885823701808768E-2</v>
      </c>
    </row>
    <row r="140" spans="1:7" s="112" customFormat="1" x14ac:dyDescent="0.3">
      <c r="A140" s="153" t="s">
        <v>208</v>
      </c>
      <c r="B140" s="180">
        <f>IF('Census demographics'!C81=0,0,IF('Census demographics'!C81&lt;0.005,"&lt;1%",'Census demographics'!C81))</f>
        <v>0.76315295538563233</v>
      </c>
      <c r="C140" s="180">
        <f>IF('Census demographics'!E81=0,0,IF('Census demographics'!E81&lt;0.005,"&lt;1%",'Census demographics'!E81))</f>
        <v>0.75100860531427127</v>
      </c>
    </row>
    <row r="141" spans="1:7" s="112" customFormat="1" x14ac:dyDescent="0.3">
      <c r="A141" s="183"/>
      <c r="B141" s="184"/>
      <c r="C141" s="184"/>
      <c r="D141" s="184"/>
      <c r="E141" s="184"/>
      <c r="F141" s="181"/>
      <c r="G141" s="181"/>
    </row>
    <row r="142" spans="1:7" ht="15" customHeight="1" x14ac:dyDescent="0.3">
      <c r="A142" s="185" t="s">
        <v>445</v>
      </c>
      <c r="B142" s="176" t="s">
        <v>369</v>
      </c>
      <c r="C142" s="176" t="s">
        <v>370</v>
      </c>
      <c r="D142" s="112"/>
    </row>
    <row r="143" spans="1:7" x14ac:dyDescent="0.3">
      <c r="A143" s="178" t="s">
        <v>449</v>
      </c>
      <c r="B143" s="180">
        <f>IF('Census demographics'!C93=0,0,IF('Census demographics'!C93&lt;0.005,"&lt;1%",'Census demographics'!C93))</f>
        <v>0.99689069939763952</v>
      </c>
      <c r="C143" s="180">
        <f>IF('Census demographics'!E93=0,0,IF('Census demographics'!E93&lt;0.005,"&lt;1%",'Census demographics'!E93))</f>
        <v>0.99798309571240384</v>
      </c>
    </row>
    <row r="144" spans="1:7" x14ac:dyDescent="0.3">
      <c r="A144" s="178" t="s">
        <v>450</v>
      </c>
      <c r="B144" s="180" t="str">
        <f>IF('Census demographics'!C94=0,0,IF('Census demographics'!C94&lt;0.005,"&lt;1%",'Census demographics'!C94))</f>
        <v>&lt;1%</v>
      </c>
      <c r="C144" s="180" t="str">
        <f>IF('Census demographics'!E94=0,0,IF('Census demographics'!E94&lt;0.005,"&lt;1%",'Census demographics'!E94))</f>
        <v>&lt;1%</v>
      </c>
    </row>
    <row r="145" spans="1:7" x14ac:dyDescent="0.3">
      <c r="A145" s="182" t="s">
        <v>446</v>
      </c>
      <c r="B145" s="180" t="str">
        <f>IF('Census demographics'!C95=0,0,IF('Census demographics'!C95&lt;0.005,"&lt;1%",'Census demographics'!C95))</f>
        <v>&lt;1%</v>
      </c>
      <c r="C145" s="180" t="str">
        <f>IF('Census demographics'!E95=0,0,IF('Census demographics'!E95&lt;0.005,"&lt;1%",'Census demographics'!E95))</f>
        <v>&lt;1%</v>
      </c>
    </row>
    <row r="146" spans="1:7" x14ac:dyDescent="0.3">
      <c r="A146" s="182" t="s">
        <v>447</v>
      </c>
      <c r="B146" s="180" t="str">
        <f>IF('Census demographics'!C96=0,0,IF('Census demographics'!C96&lt;0.005,"&lt;1%",'Census demographics'!C96))</f>
        <v>&lt;1%</v>
      </c>
      <c r="C146" s="180" t="str">
        <f>IF('Census demographics'!E96=0,0,IF('Census demographics'!E96&lt;0.005,"&lt;1%",'Census demographics'!E96))</f>
        <v>&lt;1%</v>
      </c>
    </row>
    <row r="147" spans="1:7" x14ac:dyDescent="0.3">
      <c r="A147" s="182" t="s">
        <v>448</v>
      </c>
      <c r="B147" s="180" t="str">
        <f>IF('Census demographics'!C97=0,0,IF('Census demographics'!C97&lt;0.005,"&lt;1%",'Census demographics'!C97))</f>
        <v>&lt;1%</v>
      </c>
      <c r="C147" s="180" t="str">
        <f>IF('Census demographics'!E97=0,0,IF('Census demographics'!E97&lt;0.005,"&lt;1%",'Census demographics'!E97))</f>
        <v>&lt;1%</v>
      </c>
    </row>
    <row r="148" spans="1:7" x14ac:dyDescent="0.3">
      <c r="A148" s="112"/>
      <c r="B148" s="112"/>
      <c r="C148" s="112"/>
      <c r="D148" s="112"/>
    </row>
    <row r="149" spans="1:7" ht="15" customHeight="1" x14ac:dyDescent="0.3">
      <c r="A149" s="185" t="s">
        <v>439</v>
      </c>
      <c r="B149" s="176" t="s">
        <v>369</v>
      </c>
      <c r="C149" s="176" t="s">
        <v>370</v>
      </c>
    </row>
    <row r="150" spans="1:7" x14ac:dyDescent="0.3">
      <c r="A150" s="178" t="s">
        <v>440</v>
      </c>
      <c r="B150" s="180">
        <f>IF('Census demographics'!C104=0,0,IF('Census demographics'!C104&lt;0.005,"&lt;1%",'Census demographics'!C104))</f>
        <v>0.92681339231128856</v>
      </c>
      <c r="C150" s="180">
        <f>IF('Census demographics'!E104=0,0,IF('Census demographics'!E104&lt;0.005,"&lt;1%",'Census demographics'!E104))</f>
        <v>0.95830769256565851</v>
      </c>
    </row>
    <row r="151" spans="1:7" x14ac:dyDescent="0.3">
      <c r="A151" s="178" t="s">
        <v>441</v>
      </c>
      <c r="B151" s="180">
        <f>IF('Census demographics'!C105=0,0,IF('Census demographics'!C105&lt;0.005,"&lt;1%",'Census demographics'!C105))</f>
        <v>2.6194843025137554E-2</v>
      </c>
      <c r="C151" s="180">
        <f>IF('Census demographics'!E105=0,0,IF('Census demographics'!E105&lt;0.005,"&lt;1%",'Census demographics'!E105))</f>
        <v>1.7088069539438713E-2</v>
      </c>
    </row>
    <row r="152" spans="1:7" x14ac:dyDescent="0.3">
      <c r="A152" s="178" t="s">
        <v>442</v>
      </c>
      <c r="B152" s="180">
        <f>IF('Census demographics'!C106=0,0,IF('Census demographics'!C106&lt;0.005,"&lt;1%",'Census demographics'!C106))</f>
        <v>3.7771064839788544E-2</v>
      </c>
      <c r="C152" s="180">
        <f>IF('Census demographics'!E106=0,0,IF('Census demographics'!E106&lt;0.005,"&lt;1%",'Census demographics'!E106))</f>
        <v>1.9811160986013973E-2</v>
      </c>
    </row>
    <row r="153" spans="1:7" x14ac:dyDescent="0.3">
      <c r="A153" s="178" t="s">
        <v>443</v>
      </c>
      <c r="B153" s="180">
        <f>IF('Census demographics'!C107=0,0,IF('Census demographics'!C107&lt;0.005,"&lt;1%",'Census demographics'!C107))</f>
        <v>9.2206998237853773E-3</v>
      </c>
      <c r="C153" s="180" t="str">
        <f>IF('Census demographics'!E107=0,0,IF('Census demographics'!E107&lt;0.005,"&lt;1%",'Census demographics'!E107))</f>
        <v>&lt;1%</v>
      </c>
    </row>
    <row r="155" spans="1:7" s="112" customFormat="1" x14ac:dyDescent="0.3">
      <c r="A155" s="185" t="s">
        <v>262</v>
      </c>
      <c r="B155" s="176" t="s">
        <v>369</v>
      </c>
      <c r="C155" s="176" t="s">
        <v>370</v>
      </c>
      <c r="D155" s="194"/>
      <c r="E155" s="194"/>
      <c r="F155" s="186"/>
      <c r="G155" s="186"/>
    </row>
    <row r="156" spans="1:7" s="112" customFormat="1" ht="15" customHeight="1" x14ac:dyDescent="0.3">
      <c r="A156" s="178" t="s">
        <v>270</v>
      </c>
      <c r="B156" s="180">
        <f>IF('Census demographics'!C114=0,0,IF('Census demographics'!C114&lt;0.005,"&lt;1%",'Census demographics'!C114))</f>
        <v>0.57287991809273076</v>
      </c>
      <c r="C156" s="180">
        <f>IF('Census demographics'!E114=0,0,IF('Census demographics'!E114&lt;0.005,"&lt;1%",'Census demographics'!E114))</f>
        <v>0.50373127690002262</v>
      </c>
      <c r="D156" s="177"/>
      <c r="E156" s="177"/>
      <c r="F156" s="186"/>
      <c r="G156" s="186"/>
    </row>
    <row r="157" spans="1:7" s="112" customFormat="1" x14ac:dyDescent="0.3">
      <c r="A157" s="178" t="s">
        <v>263</v>
      </c>
      <c r="B157" s="180">
        <f>IF('Census demographics'!C115=0,0,IF('Census demographics'!C115&lt;0.005,"&lt;1%",'Census demographics'!C115))</f>
        <v>0.32350153576129881</v>
      </c>
      <c r="C157" s="180">
        <f>IF('Census demographics'!E115=0,0,IF('Census demographics'!E115&lt;0.005,"&lt;1%",'Census demographics'!E115))</f>
        <v>0.43906105663630829</v>
      </c>
      <c r="D157" s="179"/>
      <c r="E157" s="180"/>
      <c r="F157" s="179"/>
      <c r="G157" s="181"/>
    </row>
    <row r="158" spans="1:7" s="112" customFormat="1" x14ac:dyDescent="0.3">
      <c r="A158" s="178" t="s">
        <v>264</v>
      </c>
      <c r="B158" s="180">
        <f>IF('Census demographics'!C116=0,0,IF('Census demographics'!C116&lt;0.005,"&lt;1%",'Census demographics'!C116))</f>
        <v>6.7280971186192773E-3</v>
      </c>
      <c r="C158" s="180" t="str">
        <f>IF('Census demographics'!E116=0,0,IF('Census demographics'!E116&lt;0.005,"&lt;1%",'Census demographics'!E116))</f>
        <v>&lt;1%</v>
      </c>
      <c r="D158" s="179"/>
      <c r="E158" s="180"/>
      <c r="F158" s="179"/>
      <c r="G158" s="181"/>
    </row>
    <row r="159" spans="1:7" s="112" customFormat="1" x14ac:dyDescent="0.3">
      <c r="A159" s="178" t="s">
        <v>265</v>
      </c>
      <c r="B159" s="180">
        <f>IF('Census demographics'!C117=0,0,IF('Census demographics'!C117&lt;0.005,"&lt;1%",'Census demographics'!C117))</f>
        <v>7.7168348690946319E-3</v>
      </c>
      <c r="C159" s="180">
        <f>IF('Census demographics'!E117=0,0,IF('Census demographics'!E117&lt;0.005,"&lt;1%",'Census demographics'!E117))</f>
        <v>6.404685821421484E-3</v>
      </c>
      <c r="D159" s="179"/>
      <c r="E159" s="180"/>
      <c r="F159" s="179"/>
      <c r="G159" s="181"/>
    </row>
    <row r="160" spans="1:7" s="112" customFormat="1" x14ac:dyDescent="0.3">
      <c r="A160" s="178" t="s">
        <v>266</v>
      </c>
      <c r="B160" s="180" t="str">
        <f>IF('Census demographics'!C118=0,0,IF('Census demographics'!C118&lt;0.005,"&lt;1%",'Census demographics'!C118))</f>
        <v>&lt;1%</v>
      </c>
      <c r="C160" s="180" t="str">
        <f>IF('Census demographics'!E118=0,0,IF('Census demographics'!E118&lt;0.005,"&lt;1%",'Census demographics'!E118))</f>
        <v>&lt;1%</v>
      </c>
      <c r="D160" s="179"/>
      <c r="E160" s="180"/>
      <c r="F160" s="179"/>
      <c r="G160" s="181"/>
    </row>
    <row r="161" spans="1:7" s="112" customFormat="1" x14ac:dyDescent="0.3">
      <c r="A161" s="178" t="s">
        <v>267</v>
      </c>
      <c r="B161" s="180">
        <f>IF('Census demographics'!C119=0,0,IF('Census demographics'!C119&lt;0.005,"&lt;1%",'Census demographics'!C119))</f>
        <v>7.265759836185462E-2</v>
      </c>
      <c r="C161" s="180">
        <f>IF('Census demographics'!E119=0,0,IF('Census demographics'!E119&lt;0.005,"&lt;1%",'Census demographics'!E119))</f>
        <v>3.5437893022587465E-2</v>
      </c>
      <c r="D161" s="179"/>
      <c r="E161" s="180"/>
      <c r="F161" s="179"/>
      <c r="G161" s="181"/>
    </row>
    <row r="162" spans="1:7" s="112" customFormat="1" x14ac:dyDescent="0.3">
      <c r="A162" s="178" t="s">
        <v>268</v>
      </c>
      <c r="B162" s="180" t="str">
        <f>IF('Census demographics'!C120=0,0,IF('Census demographics'!C120&lt;0.005,"&lt;1%",'Census demographics'!C120))</f>
        <v>&lt;1%</v>
      </c>
      <c r="C162" s="180" t="str">
        <f>IF('Census demographics'!E120=0,0,IF('Census demographics'!E120&lt;0.005,"&lt;1%",'Census demographics'!E120))</f>
        <v>&lt;1%</v>
      </c>
      <c r="D162" s="179"/>
      <c r="E162" s="180"/>
      <c r="F162" s="179"/>
      <c r="G162" s="181"/>
    </row>
    <row r="163" spans="1:7" s="112" customFormat="1" x14ac:dyDescent="0.3">
      <c r="A163" s="178" t="s">
        <v>269</v>
      </c>
      <c r="B163" s="180">
        <f>IF('Census demographics'!C121=0,0,IF('Census demographics'!C121&lt;0.005,"&lt;1%",'Census demographics'!C121))</f>
        <v>8.4452245136755894E-3</v>
      </c>
      <c r="C163" s="180">
        <f>IF('Census demographics'!E121=0,0,IF('Census demographics'!E121&lt;0.005,"&lt;1%",'Census demographics'!E121))</f>
        <v>6.3581560526333796E-3</v>
      </c>
      <c r="D163" s="179"/>
      <c r="E163" s="180"/>
      <c r="F163" s="179"/>
      <c r="G163" s="181"/>
    </row>
    <row r="164" spans="1:7" s="112" customFormat="1" x14ac:dyDescent="0.3">
      <c r="A164" s="183"/>
      <c r="B164" s="179"/>
      <c r="C164" s="180"/>
      <c r="D164" s="179"/>
      <c r="E164" s="180"/>
      <c r="F164" s="179"/>
      <c r="G164" s="181"/>
    </row>
    <row r="167" spans="1:7" x14ac:dyDescent="0.3">
      <c r="A167" s="196" t="s">
        <v>835</v>
      </c>
      <c r="B167" s="196"/>
      <c r="C167" s="112"/>
      <c r="D167" s="112"/>
    </row>
    <row r="168" spans="1:7" x14ac:dyDescent="0.3">
      <c r="A168" s="112"/>
      <c r="B168" s="154" t="s">
        <v>369</v>
      </c>
      <c r="C168" s="154" t="s">
        <v>370</v>
      </c>
      <c r="D168" s="154" t="s">
        <v>1</v>
      </c>
    </row>
    <row r="169" spans="1:7" x14ac:dyDescent="0.3">
      <c r="A169" s="112" t="s">
        <v>263</v>
      </c>
      <c r="B169" s="172">
        <f>'Census demographics'!B115/SUM('Census demographics'!$B$115:$B$121)</f>
        <v>0.75740183958742835</v>
      </c>
      <c r="C169" s="172">
        <f>'Census demographics'!D115/SUM('Census demographics'!$D$115:$D$121)</f>
        <v>0.88472441683143466</v>
      </c>
      <c r="D169" s="204">
        <f t="shared" ref="D169:D175" si="18">IF(B169=C169,100,IFERROR(B169/C169*100,9999))</f>
        <v>85.608786779051343</v>
      </c>
    </row>
    <row r="170" spans="1:7" x14ac:dyDescent="0.3">
      <c r="A170" s="112" t="s">
        <v>264</v>
      </c>
      <c r="B170" s="172">
        <f>'Census demographics'!B116/SUM('Census demographics'!$B$115:$B$121)</f>
        <v>1.5752237845093862E-2</v>
      </c>
      <c r="C170" s="172">
        <f>'Census demographics'!D116/SUM('Census demographics'!$D$115:$D$121)</f>
        <v>9.323527221886712E-3</v>
      </c>
      <c r="D170" s="204">
        <f t="shared" si="18"/>
        <v>168.95148660172231</v>
      </c>
    </row>
    <row r="171" spans="1:7" x14ac:dyDescent="0.3">
      <c r="A171" s="112" t="s">
        <v>265</v>
      </c>
      <c r="B171" s="172">
        <f>'Census demographics'!B117/SUM('Census demographics'!$B$115:$B$121)</f>
        <v>1.8067131928416351E-2</v>
      </c>
      <c r="C171" s="172">
        <f>'Census demographics'!D117/SUM('Census demographics'!$D$115:$D$121)</f>
        <v>1.2905680981493584E-2</v>
      </c>
      <c r="D171" s="204">
        <f t="shared" si="18"/>
        <v>139.99363500712712</v>
      </c>
    </row>
    <row r="172" spans="1:7" x14ac:dyDescent="0.3">
      <c r="A172" s="112" t="s">
        <v>266</v>
      </c>
      <c r="B172" s="172">
        <f>'Census demographics'!B118/SUM('Census demographics'!$B$115:$B$121)</f>
        <v>7.4788885768880429E-3</v>
      </c>
      <c r="C172" s="172">
        <f>'Census demographics'!D118/SUM('Census demographics'!$D$115:$D$121)</f>
        <v>3.0085679382071584E-3</v>
      </c>
      <c r="D172" s="204">
        <f t="shared" si="18"/>
        <v>248.58632846246448</v>
      </c>
    </row>
    <row r="173" spans="1:7" x14ac:dyDescent="0.3">
      <c r="A173" s="112" t="s">
        <v>267</v>
      </c>
      <c r="B173" s="172">
        <f>'Census demographics'!B119/SUM('Census demographics'!$B$115:$B$121)</f>
        <v>0.17011047112888755</v>
      </c>
      <c r="C173" s="172">
        <f>'Census demographics'!D119/SUM('Census demographics'!$D$115:$D$121)</f>
        <v>7.1408677140123153E-2</v>
      </c>
      <c r="D173" s="204">
        <f t="shared" si="18"/>
        <v>238.22100890496091</v>
      </c>
    </row>
    <row r="174" spans="1:7" x14ac:dyDescent="0.3">
      <c r="A174" s="112" t="s">
        <v>268</v>
      </c>
      <c r="B174" s="172">
        <f>'Census demographics'!B120/SUM('Census demographics'!$B$115:$B$121)</f>
        <v>1.1416948038161508E-2</v>
      </c>
      <c r="C174" s="172">
        <f>'Census demographics'!D120/SUM('Census demographics'!$D$115:$D$121)</f>
        <v>5.81720812616682E-3</v>
      </c>
      <c r="D174" s="204">
        <f t="shared" si="18"/>
        <v>196.26163944188414</v>
      </c>
    </row>
    <row r="175" spans="1:7" x14ac:dyDescent="0.3">
      <c r="A175" s="112" t="s">
        <v>269</v>
      </c>
      <c r="B175" s="172">
        <f>'Census demographics'!B121/SUM('Census demographics'!$B$115:$B$121)</f>
        <v>1.977248289512434E-2</v>
      </c>
      <c r="C175" s="172">
        <f>'Census demographics'!D121/SUM('Census demographics'!$D$115:$D$121)</f>
        <v>1.2811921760687862E-2</v>
      </c>
      <c r="D175" s="204">
        <f t="shared" si="18"/>
        <v>154.32878271075839</v>
      </c>
    </row>
    <row r="176" spans="1:7" x14ac:dyDescent="0.3">
      <c r="A176" s="205" t="s">
        <v>370</v>
      </c>
      <c r="B176" s="206">
        <f>'Census demographics'!B122-'Census demographics'!B114</f>
        <v>146011</v>
      </c>
      <c r="C176" s="206">
        <f>'Census demographics'!D122-'Census demographics'!D114</f>
        <v>725262</v>
      </c>
      <c r="D176" s="207"/>
    </row>
    <row r="179" spans="1:5" x14ac:dyDescent="0.3">
      <c r="A179" s="196" t="s">
        <v>643</v>
      </c>
      <c r="B179" s="112"/>
      <c r="C179" s="208"/>
      <c r="D179" s="112"/>
      <c r="E179" s="112"/>
    </row>
    <row r="180" spans="1:5" x14ac:dyDescent="0.3">
      <c r="A180" s="185" t="s">
        <v>473</v>
      </c>
      <c r="B180" s="292" t="s">
        <v>369</v>
      </c>
      <c r="C180" s="292"/>
      <c r="D180" s="292" t="s">
        <v>370</v>
      </c>
      <c r="E180" s="292"/>
    </row>
    <row r="181" spans="1:5" x14ac:dyDescent="0.3">
      <c r="A181" s="185"/>
      <c r="B181" s="177" t="s">
        <v>74</v>
      </c>
      <c r="C181" s="177" t="s">
        <v>75</v>
      </c>
      <c r="D181" s="177" t="s">
        <v>74</v>
      </c>
      <c r="E181" s="177" t="s">
        <v>75</v>
      </c>
    </row>
    <row r="182" spans="1:5" x14ac:dyDescent="0.3">
      <c r="A182" s="188" t="s">
        <v>634</v>
      </c>
      <c r="B182" s="179">
        <f>'Census demographics'!B156+'Census demographics'!B171+'Census demographics'!B172</f>
        <v>46</v>
      </c>
      <c r="C182" s="189">
        <f t="shared" ref="C182:C190" si="19">B182/$B$191</f>
        <v>3.4677723332076893E-3</v>
      </c>
      <c r="D182" s="179">
        <f>'Census demographics'!D156+'Census demographics'!D171+'Census demographics'!D172</f>
        <v>262</v>
      </c>
      <c r="E182" s="189">
        <f t="shared" ref="E182:E190" si="20">D182/$D$191</f>
        <v>7.5526088209858745E-3</v>
      </c>
    </row>
    <row r="183" spans="1:5" x14ac:dyDescent="0.3">
      <c r="A183" s="188" t="s">
        <v>621</v>
      </c>
      <c r="B183" s="179">
        <f>'Census demographics'!B162+'Census demographics'!B163+'Census demographics'!B168+'Census demographics'!B169</f>
        <v>1269</v>
      </c>
      <c r="C183" s="189">
        <f t="shared" si="19"/>
        <v>9.5665284583490384E-2</v>
      </c>
      <c r="D183" s="179">
        <f>'Census demographics'!D162+'Census demographics'!D163+'Census demographics'!D168+'Census demographics'!D169</f>
        <v>9347</v>
      </c>
      <c r="E183" s="189">
        <f t="shared" si="20"/>
        <v>0.26944364370135487</v>
      </c>
    </row>
    <row r="184" spans="1:5" x14ac:dyDescent="0.3">
      <c r="A184" s="188" t="s">
        <v>636</v>
      </c>
      <c r="B184" s="179">
        <f>'Census demographics'!B161+'Census demographics'!B164+'Census demographics'!B166+'Census demographics'!B170+'Census demographics'!B173</f>
        <v>24</v>
      </c>
      <c r="C184" s="189">
        <f t="shared" si="19"/>
        <v>1.8092725216735772E-3</v>
      </c>
      <c r="D184" s="179">
        <f>'Census demographics'!D161+'Census demographics'!D164+'Census demographics'!D166+'Census demographics'!D170+'Census demographics'!D173</f>
        <v>110</v>
      </c>
      <c r="E184" s="189">
        <f t="shared" si="20"/>
        <v>3.1709426347650621E-3</v>
      </c>
    </row>
    <row r="185" spans="1:5" x14ac:dyDescent="0.3">
      <c r="A185" s="188" t="s">
        <v>622</v>
      </c>
      <c r="B185" s="179">
        <f>'Census demographics'!B175</f>
        <v>0</v>
      </c>
      <c r="C185" s="189">
        <f t="shared" si="19"/>
        <v>0</v>
      </c>
      <c r="D185" s="179">
        <f>'Census demographics'!D175</f>
        <v>564</v>
      </c>
      <c r="E185" s="189">
        <f t="shared" si="20"/>
        <v>1.6258287690977227E-2</v>
      </c>
    </row>
    <row r="186" spans="1:5" x14ac:dyDescent="0.3">
      <c r="A186" s="188" t="s">
        <v>489</v>
      </c>
      <c r="B186" s="179">
        <f>'Census demographics'!B176</f>
        <v>278</v>
      </c>
      <c r="C186" s="189">
        <f t="shared" si="19"/>
        <v>2.09574067093856E-2</v>
      </c>
      <c r="D186" s="179">
        <f>'Census demographics'!D176</f>
        <v>1419</v>
      </c>
      <c r="E186" s="189">
        <f t="shared" si="20"/>
        <v>4.0905159988469303E-2</v>
      </c>
    </row>
    <row r="187" spans="1:5" x14ac:dyDescent="0.3">
      <c r="A187" s="188" t="s">
        <v>623</v>
      </c>
      <c r="B187" s="179">
        <f>'Census demographics'!B179</f>
        <v>10615</v>
      </c>
      <c r="C187" s="189">
        <f t="shared" si="19"/>
        <v>0.80022615906520922</v>
      </c>
      <c r="D187" s="179">
        <f>'Census demographics'!D179</f>
        <v>20582</v>
      </c>
      <c r="E187" s="189">
        <f t="shared" si="20"/>
        <v>0.59331219371576827</v>
      </c>
    </row>
    <row r="188" spans="1:5" x14ac:dyDescent="0.3">
      <c r="A188" s="188" t="s">
        <v>492</v>
      </c>
      <c r="B188" s="179">
        <f>'Census demographics'!B180</f>
        <v>38</v>
      </c>
      <c r="C188" s="189">
        <f t="shared" si="19"/>
        <v>2.8646814926498302E-3</v>
      </c>
      <c r="D188" s="179">
        <f>'Census demographics'!D180</f>
        <v>384</v>
      </c>
      <c r="E188" s="189">
        <f t="shared" si="20"/>
        <v>1.106947247045258E-2</v>
      </c>
    </row>
    <row r="189" spans="1:5" x14ac:dyDescent="0.3">
      <c r="A189" s="188" t="s">
        <v>493</v>
      </c>
      <c r="B189" s="179">
        <f>'Census demographics'!B181</f>
        <v>133</v>
      </c>
      <c r="C189" s="189">
        <f t="shared" si="19"/>
        <v>1.0026385224274407E-2</v>
      </c>
      <c r="D189" s="179">
        <f>'Census demographics'!D181</f>
        <v>246</v>
      </c>
      <c r="E189" s="189">
        <f t="shared" si="20"/>
        <v>7.0913808013836838E-3</v>
      </c>
    </row>
    <row r="190" spans="1:5" x14ac:dyDescent="0.3">
      <c r="A190" s="188" t="s">
        <v>624</v>
      </c>
      <c r="B190" s="179">
        <f>'Census demographics'!B187-SUM(B182:B189)</f>
        <v>862</v>
      </c>
      <c r="C190" s="189">
        <f t="shared" si="19"/>
        <v>6.4983038070109314E-2</v>
      </c>
      <c r="D190" s="179">
        <f>'Census demographics'!D187-SUM(D182:D189)</f>
        <v>1776</v>
      </c>
      <c r="E190" s="189">
        <f t="shared" si="20"/>
        <v>5.1196310175843182E-2</v>
      </c>
    </row>
    <row r="191" spans="1:5" x14ac:dyDescent="0.3">
      <c r="A191" s="183" t="s">
        <v>472</v>
      </c>
      <c r="B191" s="178">
        <f>'Census demographics'!B187</f>
        <v>13265</v>
      </c>
      <c r="C191" s="178"/>
      <c r="D191" s="178">
        <f>'Census demographics'!D187</f>
        <v>34690</v>
      </c>
      <c r="E191" s="178"/>
    </row>
    <row r="192" spans="1:5" x14ac:dyDescent="0.3">
      <c r="A192" s="112"/>
      <c r="B192" s="112"/>
      <c r="C192" s="112"/>
      <c r="D192" s="112"/>
      <c r="E192" s="112"/>
    </row>
    <row r="193" spans="1:5" x14ac:dyDescent="0.3">
      <c r="A193" s="196" t="s">
        <v>642</v>
      </c>
      <c r="B193" s="112"/>
      <c r="C193" s="112"/>
      <c r="D193" s="112"/>
      <c r="E193" s="112"/>
    </row>
    <row r="194" spans="1:5" x14ac:dyDescent="0.3">
      <c r="A194" s="185" t="s">
        <v>473</v>
      </c>
      <c r="B194" s="292" t="s">
        <v>369</v>
      </c>
      <c r="C194" s="292"/>
      <c r="D194" s="292" t="s">
        <v>370</v>
      </c>
      <c r="E194" s="292"/>
    </row>
    <row r="195" spans="1:5" x14ac:dyDescent="0.3">
      <c r="A195" s="185"/>
      <c r="B195" s="177" t="s">
        <v>74</v>
      </c>
      <c r="C195" s="177" t="s">
        <v>75</v>
      </c>
      <c r="D195" s="177" t="s">
        <v>74</v>
      </c>
      <c r="E195" s="177" t="s">
        <v>75</v>
      </c>
    </row>
    <row r="196" spans="1:5" x14ac:dyDescent="0.3">
      <c r="A196" s="188" t="s">
        <v>635</v>
      </c>
      <c r="B196" s="179">
        <f t="shared" ref="B196:E203" si="21">B182</f>
        <v>46</v>
      </c>
      <c r="C196" s="189">
        <f t="shared" si="21"/>
        <v>3.4677723332076893E-3</v>
      </c>
      <c r="D196" s="179">
        <f t="shared" si="21"/>
        <v>262</v>
      </c>
      <c r="E196" s="189">
        <f t="shared" si="21"/>
        <v>7.5526088209858745E-3</v>
      </c>
    </row>
    <row r="197" spans="1:5" x14ac:dyDescent="0.3">
      <c r="A197" s="188" t="s">
        <v>648</v>
      </c>
      <c r="B197" s="179">
        <f t="shared" si="21"/>
        <v>1269</v>
      </c>
      <c r="C197" s="189">
        <f t="shared" si="21"/>
        <v>9.5665284583490384E-2</v>
      </c>
      <c r="D197" s="179">
        <f t="shared" si="21"/>
        <v>9347</v>
      </c>
      <c r="E197" s="189">
        <f t="shared" si="21"/>
        <v>0.26944364370135487</v>
      </c>
    </row>
    <row r="198" spans="1:5" x14ac:dyDescent="0.3">
      <c r="A198" s="188" t="s">
        <v>641</v>
      </c>
      <c r="B198" s="179">
        <f t="shared" si="21"/>
        <v>24</v>
      </c>
      <c r="C198" s="189">
        <f t="shared" si="21"/>
        <v>1.8092725216735772E-3</v>
      </c>
      <c r="D198" s="179">
        <f t="shared" si="21"/>
        <v>110</v>
      </c>
      <c r="E198" s="189">
        <f t="shared" si="21"/>
        <v>3.1709426347650621E-3</v>
      </c>
    </row>
    <row r="199" spans="1:5" x14ac:dyDescent="0.3">
      <c r="A199" s="188" t="s">
        <v>637</v>
      </c>
      <c r="B199" s="179">
        <f t="shared" si="21"/>
        <v>0</v>
      </c>
      <c r="C199" s="189">
        <f t="shared" si="21"/>
        <v>0</v>
      </c>
      <c r="D199" s="179">
        <f t="shared" si="21"/>
        <v>564</v>
      </c>
      <c r="E199" s="189">
        <f t="shared" si="21"/>
        <v>1.6258287690977227E-2</v>
      </c>
    </row>
    <row r="200" spans="1:5" x14ac:dyDescent="0.3">
      <c r="A200" s="188" t="s">
        <v>638</v>
      </c>
      <c r="B200" s="179">
        <f t="shared" si="21"/>
        <v>278</v>
      </c>
      <c r="C200" s="189">
        <f t="shared" si="21"/>
        <v>2.09574067093856E-2</v>
      </c>
      <c r="D200" s="179">
        <f t="shared" si="21"/>
        <v>1419</v>
      </c>
      <c r="E200" s="189">
        <f t="shared" si="21"/>
        <v>4.0905159988469303E-2</v>
      </c>
    </row>
    <row r="201" spans="1:5" x14ac:dyDescent="0.3">
      <c r="A201" s="188" t="s">
        <v>649</v>
      </c>
      <c r="B201" s="179">
        <f t="shared" si="21"/>
        <v>10615</v>
      </c>
      <c r="C201" s="189">
        <f t="shared" si="21"/>
        <v>0.80022615906520922</v>
      </c>
      <c r="D201" s="179">
        <f t="shared" si="21"/>
        <v>20582</v>
      </c>
      <c r="E201" s="189">
        <f t="shared" si="21"/>
        <v>0.59331219371576827</v>
      </c>
    </row>
    <row r="202" spans="1:5" x14ac:dyDescent="0.3">
      <c r="A202" s="188" t="s">
        <v>639</v>
      </c>
      <c r="B202" s="179">
        <f t="shared" si="21"/>
        <v>38</v>
      </c>
      <c r="C202" s="189">
        <f t="shared" si="21"/>
        <v>2.8646814926498302E-3</v>
      </c>
      <c r="D202" s="179">
        <f t="shared" si="21"/>
        <v>384</v>
      </c>
      <c r="E202" s="189">
        <f t="shared" si="21"/>
        <v>1.106947247045258E-2</v>
      </c>
    </row>
    <row r="203" spans="1:5" x14ac:dyDescent="0.3">
      <c r="A203" s="188" t="s">
        <v>640</v>
      </c>
      <c r="B203" s="179">
        <f t="shared" si="21"/>
        <v>133</v>
      </c>
      <c r="C203" s="189">
        <f t="shared" si="21"/>
        <v>1.0026385224274407E-2</v>
      </c>
      <c r="D203" s="179">
        <f t="shared" si="21"/>
        <v>246</v>
      </c>
      <c r="E203" s="189">
        <f t="shared" si="21"/>
        <v>7.0913808013836838E-3</v>
      </c>
    </row>
    <row r="204" spans="1:5" x14ac:dyDescent="0.3">
      <c r="A204" s="112"/>
      <c r="B204" s="112"/>
      <c r="C204" s="112"/>
      <c r="D204" s="112"/>
      <c r="E204" s="112"/>
    </row>
    <row r="205" spans="1:5" x14ac:dyDescent="0.3">
      <c r="A205" s="196" t="s">
        <v>647</v>
      </c>
      <c r="B205" s="112"/>
      <c r="C205" s="112"/>
      <c r="D205" s="112"/>
      <c r="E205" s="112"/>
    </row>
    <row r="206" spans="1:5" x14ac:dyDescent="0.3">
      <c r="A206" s="175" t="s">
        <v>633</v>
      </c>
      <c r="B206" s="292" t="s">
        <v>369</v>
      </c>
      <c r="C206" s="292"/>
      <c r="D206" s="292" t="s">
        <v>370</v>
      </c>
      <c r="E206" s="292"/>
    </row>
    <row r="207" spans="1:5" x14ac:dyDescent="0.3">
      <c r="A207" s="175"/>
      <c r="B207" s="177" t="s">
        <v>74</v>
      </c>
      <c r="C207" s="177" t="s">
        <v>75</v>
      </c>
      <c r="D207" s="177" t="s">
        <v>74</v>
      </c>
      <c r="E207" s="177" t="s">
        <v>75</v>
      </c>
    </row>
    <row r="208" spans="1:5" x14ac:dyDescent="0.3">
      <c r="A208" s="178" t="str">
        <f>INDEX($A$196:$A$203,MATCH(LARGE($C$196:$C$203,1),$C$196:$C$203,0))</f>
        <v>education establishments (including university accommodation and boarding schools)</v>
      </c>
      <c r="B208" s="179">
        <f>VLOOKUP($A208,$A$196:$E$203,2,FALSE)</f>
        <v>10615</v>
      </c>
      <c r="C208" s="189">
        <f>VLOOKUP($A208,$A$196:$E$203,3,FALSE)</f>
        <v>0.80022615906520922</v>
      </c>
      <c r="D208" s="179">
        <f>VLOOKUP($A208,$A$196:$E$203,4,FALSE)</f>
        <v>20582</v>
      </c>
      <c r="E208" s="189">
        <f>VLOOKUP($A208,$A$196:$E$203,5,FALSE)</f>
        <v>0.59331219371576827</v>
      </c>
    </row>
    <row r="209" spans="1:5" x14ac:dyDescent="0.3">
      <c r="A209" s="178" t="str">
        <f>INDEX($A$196:$A$203,MATCH(LARGE($C$196:$C$203,2),$C$196:$C$203,0))</f>
        <v>care homes (either with or without nursing)</v>
      </c>
      <c r="B209" s="179">
        <f>VLOOKUP($A209,$A$196:$E$203,2,FALSE)</f>
        <v>1269</v>
      </c>
      <c r="C209" s="189">
        <f>VLOOKUP($A209,$A$196:$E$203,3,FALSE)</f>
        <v>9.5665284583490384E-2</v>
      </c>
      <c r="D209" s="179">
        <f>VLOOKUP($A209,$A$196:$E$203,4,FALSE)</f>
        <v>9347</v>
      </c>
      <c r="E209" s="189">
        <f>VLOOKUP($A209,$A$196:$E$203,5,FALSE)</f>
        <v>0.26944364370135487</v>
      </c>
    </row>
    <row r="210" spans="1:5" x14ac:dyDescent="0.3">
      <c r="A210" s="178" t="str">
        <f>INDEX($A$196:$A$203,MATCH(LARGE($C$196:$C$203,3),$C$196:$C$203,0))</f>
        <v>prison service establishments</v>
      </c>
      <c r="B210" s="179">
        <f>VLOOKUP($A210,$A$196:$E$203,2,FALSE)</f>
        <v>278</v>
      </c>
      <c r="C210" s="189">
        <f>VLOOKUP($A210,$A$196:$E$203,3,FALSE)</f>
        <v>2.09574067093856E-2</v>
      </c>
      <c r="D210" s="179">
        <f>VLOOKUP($A210,$A$196:$E$203,4,FALSE)</f>
        <v>1419</v>
      </c>
      <c r="E210" s="189">
        <f>VLOOKUP($A210,$A$196:$E$203,5,FALSE)</f>
        <v>4.0905159988469303E-2</v>
      </c>
    </row>
    <row r="211" spans="1:5" x14ac:dyDescent="0.3">
      <c r="A211" s="112"/>
      <c r="B211" s="112"/>
      <c r="C211" s="112"/>
      <c r="D211" s="112"/>
      <c r="E211" s="112"/>
    </row>
    <row r="212" spans="1:5" x14ac:dyDescent="0.3">
      <c r="A212" s="112"/>
      <c r="B212" s="112"/>
      <c r="C212" s="112"/>
      <c r="D212" s="112"/>
      <c r="E212" s="112"/>
    </row>
    <row r="214" spans="1:5" x14ac:dyDescent="0.3">
      <c r="A214" s="196" t="s">
        <v>388</v>
      </c>
      <c r="B214" s="112"/>
      <c r="C214" s="112"/>
    </row>
    <row r="215" spans="1:5" x14ac:dyDescent="0.3">
      <c r="A215" s="154" t="s">
        <v>645</v>
      </c>
      <c r="B215" s="154" t="s">
        <v>369</v>
      </c>
      <c r="C215" s="154" t="s">
        <v>370</v>
      </c>
    </row>
    <row r="216" spans="1:5" x14ac:dyDescent="0.3">
      <c r="A216" s="178" t="s">
        <v>384</v>
      </c>
      <c r="B216" s="189">
        <f>'Census demographics'!B287/('Census demographics'!$B$287+SUM('Census demographics'!$B$294:$B$298))</f>
        <v>0.44374257483121321</v>
      </c>
      <c r="C216" s="189">
        <f>'Census demographics'!D287/('Census demographics'!$D$287+SUM('Census demographics'!$D$294:$D$298))</f>
        <v>0.48041107933588656</v>
      </c>
    </row>
    <row r="217" spans="1:5" x14ac:dyDescent="0.3">
      <c r="A217" s="182" t="s">
        <v>277</v>
      </c>
      <c r="B217" s="189">
        <f>'Census demographics'!B288/('Census demographics'!$B$287+SUM('Census demographics'!$B$294:$B$298))</f>
        <v>0.40697169018573787</v>
      </c>
      <c r="C217" s="189">
        <f>'Census demographics'!D288/('Census demographics'!$D$287+SUM('Census demographics'!$D$294:$D$298))</f>
        <v>0.44023787629220185</v>
      </c>
    </row>
    <row r="218" spans="1:5" x14ac:dyDescent="0.3">
      <c r="A218" s="182" t="s">
        <v>385</v>
      </c>
      <c r="B218" s="189">
        <f>'Census demographics'!B293/('Census demographics'!$B$287+SUM('Census demographics'!$B$294:$B$298))</f>
        <v>3.6770884645475357E-2</v>
      </c>
      <c r="C218" s="189">
        <f>'Census demographics'!D293/('Census demographics'!$D$287+SUM('Census demographics'!$D$294:$D$298))</f>
        <v>4.0173203043684762E-2</v>
      </c>
    </row>
    <row r="219" spans="1:5" x14ac:dyDescent="0.3">
      <c r="A219" s="178" t="s">
        <v>271</v>
      </c>
      <c r="B219" s="189">
        <f>'Census demographics'!B294/('Census demographics'!$B$287+SUM('Census demographics'!$B$294:$B$298))</f>
        <v>0.17117730578656082</v>
      </c>
      <c r="C219" s="189">
        <f>'Census demographics'!D294/('Census demographics'!$D$287+SUM('Census demographics'!$D$294:$D$298))</f>
        <v>0.15056740670378641</v>
      </c>
    </row>
    <row r="220" spans="1:5" x14ac:dyDescent="0.3">
      <c r="A220" s="178" t="s">
        <v>386</v>
      </c>
      <c r="B220" s="189">
        <f>'Census demographics'!B295/('Census demographics'!$B$287+SUM('Census demographics'!$B$294:$B$298))</f>
        <v>0.25084755585175739</v>
      </c>
      <c r="C220" s="189">
        <f>'Census demographics'!D295/('Census demographics'!$D$287+SUM('Census demographics'!$D$294:$D$298))</f>
        <v>0.25510564981456968</v>
      </c>
    </row>
    <row r="221" spans="1:5" x14ac:dyDescent="0.3">
      <c r="A221" s="178" t="s">
        <v>387</v>
      </c>
      <c r="B221" s="189">
        <f>'Census demographics'!B296/('Census demographics'!$B$287+SUM('Census demographics'!$B$294:$B$298))</f>
        <v>0.1097041522992669</v>
      </c>
      <c r="C221" s="189">
        <f>'Census demographics'!D296/('Census demographics'!$D$287+SUM('Census demographics'!$D$294:$D$298))</f>
        <v>8.7829303044695273E-2</v>
      </c>
    </row>
    <row r="222" spans="1:5" x14ac:dyDescent="0.3">
      <c r="A222" s="178" t="s">
        <v>381</v>
      </c>
      <c r="B222" s="189">
        <f>'Census demographics'!B297/('Census demographics'!$B$287+SUM('Census demographics'!$B$294:$B$298))</f>
        <v>2.2500072440671089E-2</v>
      </c>
      <c r="C222" s="189">
        <f>'Census demographics'!D297/('Census demographics'!$D$287+SUM('Census demographics'!$D$294:$D$298))</f>
        <v>2.3732050647237744E-2</v>
      </c>
    </row>
    <row r="223" spans="1:5" x14ac:dyDescent="0.3">
      <c r="A223" s="178" t="s">
        <v>382</v>
      </c>
      <c r="B223" s="189">
        <f>'Census demographics'!B298/('Census demographics'!$B$287+SUM('Census demographics'!$B$294:$B$298))</f>
        <v>2.0283387905305553E-3</v>
      </c>
      <c r="C223" s="189">
        <f>'Census demographics'!D298/('Census demographics'!$D$287+SUM('Census demographics'!$D$294:$D$298))</f>
        <v>2.3545104538243112E-3</v>
      </c>
    </row>
    <row r="224" spans="1:5" x14ac:dyDescent="0.3">
      <c r="A224" s="191" t="s">
        <v>370</v>
      </c>
      <c r="B224" s="190">
        <f>('Census demographics'!$B$287+SUM('Census demographics'!$B$294:$B$298))</f>
        <v>69022</v>
      </c>
      <c r="C224" s="190">
        <f>('Census demographics'!$D$287+SUM('Census demographics'!$D$294:$D$298))</f>
        <v>197918</v>
      </c>
    </row>
    <row r="225" spans="1:3" x14ac:dyDescent="0.3">
      <c r="A225" s="148"/>
      <c r="B225" s="148"/>
      <c r="C225" s="148"/>
    </row>
    <row r="226" spans="1:3" x14ac:dyDescent="0.3">
      <c r="A226" s="148"/>
      <c r="B226" s="148"/>
      <c r="C226" s="148"/>
    </row>
    <row r="227" spans="1:3" x14ac:dyDescent="0.3">
      <c r="A227" s="196" t="s">
        <v>388</v>
      </c>
      <c r="B227" s="112"/>
      <c r="C227" s="112"/>
    </row>
    <row r="228" spans="1:3" x14ac:dyDescent="0.3">
      <c r="A228" s="154" t="s">
        <v>646</v>
      </c>
      <c r="B228" s="154" t="s">
        <v>369</v>
      </c>
      <c r="C228" s="154" t="s">
        <v>370</v>
      </c>
    </row>
    <row r="229" spans="1:3" x14ac:dyDescent="0.3">
      <c r="A229" s="178" t="str">
        <f>LOWER('Census demographics'!A306)</f>
        <v>arrived before 1951</v>
      </c>
      <c r="B229" s="189">
        <f>'Census demographics'!B306/SUM('Census demographics'!$B$306:$B$316)</f>
        <v>4.763352589439546E-3</v>
      </c>
      <c r="C229" s="189">
        <f>'Census demographics'!D306/SUM('Census demographics'!$D$306:$D$316)</f>
        <v>9.4415915248069228E-3</v>
      </c>
    </row>
    <row r="230" spans="1:3" x14ac:dyDescent="0.3">
      <c r="A230" s="178" t="str">
        <f>LOWER('Census demographics'!A307)</f>
        <v>arrived 1951-1960</v>
      </c>
      <c r="B230" s="189">
        <f>'Census demographics'!B307/SUM('Census demographics'!$B$306:$B$316)</f>
        <v>1.6085363911450868E-2</v>
      </c>
      <c r="C230" s="189">
        <f>'Census demographics'!D307/SUM('Census demographics'!$D$306:$D$316)</f>
        <v>2.4513768145242813E-2</v>
      </c>
    </row>
    <row r="231" spans="1:3" x14ac:dyDescent="0.3">
      <c r="A231" s="178" t="str">
        <f>LOWER('Census demographics'!A308)</f>
        <v>arrived 1961-1970</v>
      </c>
      <c r="B231" s="189">
        <f>'Census demographics'!B308/SUM('Census demographics'!$B$306:$B$316)</f>
        <v>3.7455298324863544E-2</v>
      </c>
      <c r="C231" s="189">
        <f>'Census demographics'!D308/SUM('Census demographics'!$D$306:$D$316)</f>
        <v>4.5454085964983217E-2</v>
      </c>
    </row>
    <row r="232" spans="1:3" x14ac:dyDescent="0.3">
      <c r="A232" s="178" t="str">
        <f>LOWER('Census demographics'!A309)</f>
        <v>arrived 1971-1980</v>
      </c>
      <c r="B232" s="189">
        <f>'Census demographics'!B309/SUM('Census demographics'!$B$306:$B$316)</f>
        <v>3.3024946068424328E-2</v>
      </c>
      <c r="C232" s="189">
        <f>'Census demographics'!D309/SUM('Census demographics'!$D$306:$D$316)</f>
        <v>4.0606930572965105E-2</v>
      </c>
    </row>
    <row r="233" spans="1:3" x14ac:dyDescent="0.3">
      <c r="A233" s="178" t="str">
        <f>LOWER('Census demographics'!A310)</f>
        <v>arrived 1981-1990</v>
      </c>
      <c r="B233" s="189">
        <f>'Census demographics'!B310/SUM('Census demographics'!$B$306:$B$316)</f>
        <v>3.7397385223472177E-2</v>
      </c>
      <c r="C233" s="189">
        <f>'Census demographics'!D310/SUM('Census demographics'!$D$306:$D$316)</f>
        <v>4.5226638631676842E-2</v>
      </c>
    </row>
    <row r="234" spans="1:3" x14ac:dyDescent="0.3">
      <c r="A234" s="178" t="str">
        <f>LOWER('Census demographics'!A311)</f>
        <v>arrived 1991-2000</v>
      </c>
      <c r="B234" s="189">
        <f>'Census demographics'!B311/SUM('Census demographics'!$B$306:$B$316)</f>
        <v>8.804239239021848E-2</v>
      </c>
      <c r="C234" s="189">
        <f>'Census demographics'!D311/SUM('Census demographics'!$D$306:$D$316)</f>
        <v>8.5499979782459268E-2</v>
      </c>
    </row>
    <row r="235" spans="1:3" x14ac:dyDescent="0.3">
      <c r="A235" s="178" t="str">
        <f>LOWER('Census demographics'!A312)</f>
        <v>arrived 2001-2010</v>
      </c>
      <c r="B235" s="189">
        <f>'Census demographics'!B312/SUM('Census demographics'!$B$306:$B$316)</f>
        <v>0.26925248664379098</v>
      </c>
      <c r="C235" s="189">
        <f>'Census demographics'!D312/SUM('Census demographics'!$D$306:$D$316)</f>
        <v>0.28173143018883184</v>
      </c>
    </row>
    <row r="236" spans="1:3" x14ac:dyDescent="0.3">
      <c r="A236" s="178" t="str">
        <f>LOWER('Census demographics'!A313)</f>
        <v>arrived 2011 to 2013</v>
      </c>
      <c r="B236" s="189">
        <f>'Census demographics'!B313/SUM('Census demographics'!$B$306:$B$316)</f>
        <v>9.4470746644659695E-2</v>
      </c>
      <c r="C236" s="189">
        <f>'Census demographics'!D313/SUM('Census demographics'!$D$306:$D$316)</f>
        <v>9.3799280255549719E-2</v>
      </c>
    </row>
    <row r="237" spans="1:3" x14ac:dyDescent="0.3">
      <c r="A237" s="178" t="str">
        <f>LOWER('Census demographics'!A314)</f>
        <v>arrived 2014 to 2016</v>
      </c>
      <c r="B237" s="189">
        <f>'Census demographics'!B314/SUM('Census demographics'!$B$306:$B$316)</f>
        <v>0.13664596273291926</v>
      </c>
      <c r="C237" s="189">
        <f>'Census demographics'!D314/SUM('Census demographics'!$D$306:$D$316)</f>
        <v>0.13490659496178886</v>
      </c>
    </row>
    <row r="238" spans="1:3" x14ac:dyDescent="0.3">
      <c r="A238" s="178" t="str">
        <f>LOWER('Census demographics'!A315)</f>
        <v>arrived 2017 to 2019</v>
      </c>
      <c r="B238" s="189">
        <f>'Census demographics'!B315/SUM('Census demographics'!$B$306:$B$316)</f>
        <v>0.17883565709652666</v>
      </c>
      <c r="C238" s="189">
        <f>'Census demographics'!D315/SUM('Census demographics'!$D$306:$D$316)</f>
        <v>0.15748453358133516</v>
      </c>
    </row>
    <row r="239" spans="1:3" x14ac:dyDescent="0.3">
      <c r="A239" s="178" t="str">
        <f>LOWER('Census demographics'!A316)</f>
        <v>arrived 2020 to 2021</v>
      </c>
      <c r="B239" s="189">
        <f>'Census demographics'!B316/SUM('Census demographics'!$B$306:$B$316)</f>
        <v>0.10402640837423446</v>
      </c>
      <c r="C239" s="189">
        <f>'Census demographics'!D316/SUM('Census demographics'!$D$306:$D$316)</f>
        <v>8.1335166390360272E-2</v>
      </c>
    </row>
    <row r="240" spans="1:3" x14ac:dyDescent="0.3">
      <c r="A240" s="191" t="s">
        <v>370</v>
      </c>
      <c r="B240" s="190">
        <f>SUM('Census demographics'!$B$306:$B$316)</f>
        <v>69069</v>
      </c>
      <c r="C240" s="190">
        <f>SUM('Census demographics'!$D$306:$D$316)</f>
        <v>197848</v>
      </c>
    </row>
    <row r="241" spans="1:14" x14ac:dyDescent="0.3">
      <c r="A241" s="148"/>
      <c r="B241" s="148"/>
      <c r="C241" s="148"/>
    </row>
    <row r="242" spans="1:14" x14ac:dyDescent="0.3">
      <c r="A242" s="148"/>
      <c r="B242" s="148"/>
      <c r="C242" s="148"/>
    </row>
    <row r="243" spans="1:14" x14ac:dyDescent="0.3">
      <c r="A243" s="196" t="s">
        <v>388</v>
      </c>
      <c r="B243" s="112"/>
      <c r="C243" s="112"/>
    </row>
    <row r="244" spans="1:14" x14ac:dyDescent="0.3">
      <c r="A244" s="154" t="s">
        <v>646</v>
      </c>
      <c r="B244" s="154" t="s">
        <v>369</v>
      </c>
      <c r="C244" s="154" t="s">
        <v>370</v>
      </c>
    </row>
    <row r="245" spans="1:14" x14ac:dyDescent="0.3">
      <c r="A245" s="178" t="str">
        <f>LOWER('Census demographics'!A339)</f>
        <v>10 years or more</v>
      </c>
      <c r="B245" s="189">
        <f>'Census demographics'!B339/SUM('Census demographics'!$B$339:$B$342)</f>
        <v>0.49328062096330411</v>
      </c>
      <c r="C245" s="189">
        <f>'Census demographics'!D339/SUM('Census demographics'!$D$339:$D$342)</f>
        <v>0.53923015495961746</v>
      </c>
    </row>
    <row r="246" spans="1:14" x14ac:dyDescent="0.3">
      <c r="A246" s="178" t="str">
        <f>LOWER('Census demographics'!A340)</f>
        <v>5 years or more, but less than 10 years</v>
      </c>
      <c r="B246" s="189">
        <f>'Census demographics'!B340/SUM('Census demographics'!$B$339:$B$342)</f>
        <v>0.18950386653923018</v>
      </c>
      <c r="C246" s="189">
        <f>'Census demographics'!D340/SUM('Census demographics'!$D$339:$D$342)</f>
        <v>0.18714936975002275</v>
      </c>
    </row>
    <row r="247" spans="1:14" x14ac:dyDescent="0.3">
      <c r="A247" s="178" t="str">
        <f>LOWER('Census demographics'!A341)</f>
        <v>2 years or more, but less than 5 years</v>
      </c>
      <c r="B247" s="189">
        <f>'Census demographics'!B341/SUM('Census demographics'!$B$339:$B$342)</f>
        <v>0.15550149158629478</v>
      </c>
      <c r="C247" s="189">
        <f>'Census demographics'!D341/SUM('Census demographics'!$D$339:$D$342)</f>
        <v>0.14270335290966249</v>
      </c>
    </row>
    <row r="248" spans="1:14" x14ac:dyDescent="0.3">
      <c r="A248" s="178" t="str">
        <f>LOWER('Census demographics'!A342)</f>
        <v>less than 2 years</v>
      </c>
      <c r="B248" s="189">
        <f>'Census demographics'!B342/SUM('Census demographics'!$B$339:$B$342)</f>
        <v>0.16171402091117096</v>
      </c>
      <c r="C248" s="189">
        <f>'Census demographics'!D342/SUM('Census demographics'!$D$339:$D$342)</f>
        <v>0.13091712238069728</v>
      </c>
    </row>
    <row r="249" spans="1:14" x14ac:dyDescent="0.3">
      <c r="A249" s="191" t="s">
        <v>370</v>
      </c>
      <c r="B249" s="190">
        <f>SUM('Census demographics'!$B$339:$B$342)</f>
        <v>69054</v>
      </c>
      <c r="C249" s="190">
        <f>SUM('Census demographics'!$D$339:$D$342)</f>
        <v>197858</v>
      </c>
    </row>
    <row r="250" spans="1:14" x14ac:dyDescent="0.3">
      <c r="A250" s="191"/>
      <c r="B250" s="190"/>
      <c r="C250" s="190"/>
    </row>
    <row r="251" spans="1:14" x14ac:dyDescent="0.3">
      <c r="A251" s="191"/>
      <c r="B251" s="190"/>
      <c r="C251" s="190"/>
    </row>
    <row r="252" spans="1:14" x14ac:dyDescent="0.3">
      <c r="A252" s="191"/>
      <c r="B252" s="190"/>
      <c r="C252" s="190"/>
    </row>
    <row r="253" spans="1:14" x14ac:dyDescent="0.3">
      <c r="A253" s="196" t="s">
        <v>834</v>
      </c>
    </row>
    <row r="254" spans="1:14" x14ac:dyDescent="0.3">
      <c r="A254" s="185" t="s">
        <v>671</v>
      </c>
      <c r="B254" s="291" t="s">
        <v>369</v>
      </c>
      <c r="C254" s="291"/>
      <c r="D254" s="291" t="s">
        <v>370</v>
      </c>
      <c r="E254" s="291"/>
      <c r="F254" s="186" t="s">
        <v>1</v>
      </c>
      <c r="G254" s="112"/>
      <c r="H254" s="112"/>
      <c r="I254" s="112"/>
      <c r="J254" s="112"/>
      <c r="K254" s="112"/>
      <c r="L254" s="112"/>
      <c r="M254" s="112"/>
      <c r="N254" s="112"/>
    </row>
    <row r="255" spans="1:14" x14ac:dyDescent="0.3">
      <c r="A255" s="185"/>
      <c r="B255" s="177" t="s">
        <v>74</v>
      </c>
      <c r="C255" s="177" t="s">
        <v>75</v>
      </c>
      <c r="D255" s="177" t="s">
        <v>74</v>
      </c>
      <c r="E255" s="177" t="s">
        <v>75</v>
      </c>
      <c r="F255" s="186"/>
      <c r="G255" s="112"/>
      <c r="H255" s="170"/>
      <c r="I255" s="112"/>
      <c r="J255" s="112"/>
      <c r="K255" s="112"/>
      <c r="L255" s="112"/>
      <c r="M255" s="112"/>
      <c r="N255" s="112"/>
    </row>
    <row r="256" spans="1:14" x14ac:dyDescent="0.3">
      <c r="A256" s="178" t="s">
        <v>672</v>
      </c>
      <c r="B256" s="179" t="e">
        <f>#REF!</f>
        <v>#REF!</v>
      </c>
      <c r="C256" s="189" t="e">
        <f t="shared" ref="C256:C287" si="22">B256/$B$346</f>
        <v>#REF!</v>
      </c>
      <c r="D256" s="179" t="e">
        <f>#REF!</f>
        <v>#REF!</v>
      </c>
      <c r="E256" s="189" t="e">
        <f t="shared" ref="E256:E287" si="23">D256/$D$346</f>
        <v>#REF!</v>
      </c>
      <c r="F256" s="179" t="e">
        <f t="shared" ref="F256:F287" si="24">IF(C256=E256,100,IFERROR(C256/E256*100,9999))</f>
        <v>#REF!</v>
      </c>
      <c r="G256" s="112"/>
      <c r="H256" s="171"/>
      <c r="I256" s="201"/>
      <c r="J256" s="172"/>
      <c r="K256" s="201"/>
      <c r="L256" s="172"/>
      <c r="M256" s="112"/>
      <c r="N256" s="112"/>
    </row>
    <row r="257" spans="1:14" x14ac:dyDescent="0.3">
      <c r="A257" s="182" t="s">
        <v>673</v>
      </c>
      <c r="B257" s="179" t="e">
        <f>#REF!</f>
        <v>#REF!</v>
      </c>
      <c r="C257" s="189" t="e">
        <f t="shared" si="22"/>
        <v>#REF!</v>
      </c>
      <c r="D257" s="179" t="e">
        <f>#REF!</f>
        <v>#REF!</v>
      </c>
      <c r="E257" s="189" t="e">
        <f t="shared" si="23"/>
        <v>#REF!</v>
      </c>
      <c r="F257" s="179" t="e">
        <f t="shared" si="24"/>
        <v>#REF!</v>
      </c>
      <c r="G257" s="112"/>
      <c r="H257" s="171"/>
      <c r="I257" s="201"/>
      <c r="J257" s="172"/>
      <c r="K257" s="201"/>
      <c r="L257" s="172"/>
      <c r="M257" s="112"/>
      <c r="N257" s="112"/>
    </row>
    <row r="258" spans="1:14" x14ac:dyDescent="0.3">
      <c r="A258" s="182" t="s">
        <v>674</v>
      </c>
      <c r="B258" s="179" t="e">
        <f>#REF!</f>
        <v>#REF!</v>
      </c>
      <c r="C258" s="189" t="e">
        <f t="shared" si="22"/>
        <v>#REF!</v>
      </c>
      <c r="D258" s="179" t="e">
        <f>#REF!</f>
        <v>#REF!</v>
      </c>
      <c r="E258" s="189" t="e">
        <f t="shared" si="23"/>
        <v>#REF!</v>
      </c>
      <c r="F258" s="179" t="e">
        <f t="shared" si="24"/>
        <v>#REF!</v>
      </c>
      <c r="G258" s="112"/>
      <c r="H258" s="171"/>
      <c r="I258" s="201"/>
      <c r="J258" s="172"/>
      <c r="K258" s="201"/>
      <c r="L258" s="172"/>
      <c r="M258" s="112"/>
      <c r="N258" s="112"/>
    </row>
    <row r="259" spans="1:14" x14ac:dyDescent="0.3">
      <c r="A259" s="182" t="s">
        <v>675</v>
      </c>
      <c r="B259" s="179" t="e">
        <f>#REF!</f>
        <v>#REF!</v>
      </c>
      <c r="C259" s="189" t="e">
        <f t="shared" si="22"/>
        <v>#REF!</v>
      </c>
      <c r="D259" s="179" t="e">
        <f>#REF!</f>
        <v>#REF!</v>
      </c>
      <c r="E259" s="189" t="e">
        <f t="shared" si="23"/>
        <v>#REF!</v>
      </c>
      <c r="F259" s="179" t="e">
        <f t="shared" si="24"/>
        <v>#REF!</v>
      </c>
      <c r="G259" s="112"/>
      <c r="H259" s="173"/>
      <c r="I259" s="201"/>
      <c r="J259" s="172"/>
      <c r="K259" s="201"/>
      <c r="L259" s="172"/>
      <c r="M259" s="112"/>
      <c r="N259" s="112"/>
    </row>
    <row r="260" spans="1:14" x14ac:dyDescent="0.3">
      <c r="A260" s="182" t="s">
        <v>676</v>
      </c>
      <c r="B260" s="179" t="e">
        <f>#REF!</f>
        <v>#REF!</v>
      </c>
      <c r="C260" s="189" t="e">
        <f t="shared" si="22"/>
        <v>#REF!</v>
      </c>
      <c r="D260" s="179" t="e">
        <f>#REF!</f>
        <v>#REF!</v>
      </c>
      <c r="E260" s="189" t="e">
        <f t="shared" si="23"/>
        <v>#REF!</v>
      </c>
      <c r="F260" s="179" t="e">
        <f t="shared" si="24"/>
        <v>#REF!</v>
      </c>
      <c r="G260" s="112"/>
      <c r="H260" s="171"/>
      <c r="I260" s="201"/>
      <c r="J260" s="172"/>
      <c r="K260" s="201"/>
      <c r="L260" s="172"/>
      <c r="M260" s="112"/>
      <c r="N260" s="112"/>
    </row>
    <row r="261" spans="1:14" x14ac:dyDescent="0.3">
      <c r="A261" s="182" t="s">
        <v>677</v>
      </c>
      <c r="B261" s="179" t="e">
        <f>#REF!</f>
        <v>#REF!</v>
      </c>
      <c r="C261" s="189" t="e">
        <f t="shared" si="22"/>
        <v>#REF!</v>
      </c>
      <c r="D261" s="179" t="e">
        <f>#REF!</f>
        <v>#REF!</v>
      </c>
      <c r="E261" s="189" t="e">
        <f t="shared" si="23"/>
        <v>#REF!</v>
      </c>
      <c r="F261" s="179" t="e">
        <f t="shared" si="24"/>
        <v>#REF!</v>
      </c>
      <c r="G261" s="112"/>
      <c r="H261" s="173"/>
      <c r="I261" s="201"/>
      <c r="J261" s="172"/>
      <c r="K261" s="201"/>
      <c r="L261" s="172"/>
      <c r="M261" s="112"/>
      <c r="N261" s="112"/>
    </row>
    <row r="262" spans="1:14" x14ac:dyDescent="0.3">
      <c r="A262" s="182" t="s">
        <v>678</v>
      </c>
      <c r="B262" s="179" t="e">
        <f>#REF!</f>
        <v>#REF!</v>
      </c>
      <c r="C262" s="189" t="e">
        <f t="shared" si="22"/>
        <v>#REF!</v>
      </c>
      <c r="D262" s="179" t="e">
        <f>#REF!</f>
        <v>#REF!</v>
      </c>
      <c r="E262" s="189" t="e">
        <f t="shared" si="23"/>
        <v>#REF!</v>
      </c>
      <c r="F262" s="179" t="e">
        <f t="shared" si="24"/>
        <v>#REF!</v>
      </c>
      <c r="G262" s="112"/>
      <c r="H262" s="171"/>
      <c r="I262" s="201"/>
      <c r="J262" s="172"/>
      <c r="K262" s="201"/>
      <c r="L262" s="172"/>
      <c r="M262" s="112"/>
      <c r="N262" s="112"/>
    </row>
    <row r="263" spans="1:14" x14ac:dyDescent="0.3">
      <c r="A263" s="182" t="s">
        <v>679</v>
      </c>
      <c r="B263" s="179" t="e">
        <f>#REF!</f>
        <v>#REF!</v>
      </c>
      <c r="C263" s="189" t="e">
        <f t="shared" si="22"/>
        <v>#REF!</v>
      </c>
      <c r="D263" s="179" t="e">
        <f>#REF!</f>
        <v>#REF!</v>
      </c>
      <c r="E263" s="189" t="e">
        <f t="shared" si="23"/>
        <v>#REF!</v>
      </c>
      <c r="F263" s="179" t="e">
        <f t="shared" si="24"/>
        <v>#REF!</v>
      </c>
      <c r="G263" s="112"/>
      <c r="H263" s="173"/>
      <c r="I263" s="201"/>
      <c r="J263" s="172"/>
      <c r="K263" s="201"/>
      <c r="L263" s="172"/>
      <c r="M263" s="112"/>
      <c r="N263" s="112"/>
    </row>
    <row r="264" spans="1:14" x14ac:dyDescent="0.3">
      <c r="A264" s="182" t="s">
        <v>680</v>
      </c>
      <c r="B264" s="179" t="e">
        <f>#REF!</f>
        <v>#REF!</v>
      </c>
      <c r="C264" s="189" t="e">
        <f t="shared" si="22"/>
        <v>#REF!</v>
      </c>
      <c r="D264" s="179" t="e">
        <f>#REF!</f>
        <v>#REF!</v>
      </c>
      <c r="E264" s="189" t="e">
        <f t="shared" si="23"/>
        <v>#REF!</v>
      </c>
      <c r="F264" s="179" t="e">
        <f t="shared" si="24"/>
        <v>#REF!</v>
      </c>
      <c r="G264" s="112"/>
      <c r="H264" s="171"/>
      <c r="I264" s="201"/>
      <c r="J264" s="172"/>
      <c r="K264" s="201"/>
      <c r="L264" s="172"/>
      <c r="M264" s="112"/>
      <c r="N264" s="112"/>
    </row>
    <row r="265" spans="1:14" x14ac:dyDescent="0.3">
      <c r="A265" s="182" t="s">
        <v>681</v>
      </c>
      <c r="B265" s="179" t="e">
        <f>#REF!</f>
        <v>#REF!</v>
      </c>
      <c r="C265" s="189" t="e">
        <f t="shared" si="22"/>
        <v>#REF!</v>
      </c>
      <c r="D265" s="179" t="e">
        <f>#REF!</f>
        <v>#REF!</v>
      </c>
      <c r="E265" s="189" t="e">
        <f t="shared" si="23"/>
        <v>#REF!</v>
      </c>
      <c r="F265" s="179" t="e">
        <f t="shared" si="24"/>
        <v>#REF!</v>
      </c>
      <c r="G265" s="112"/>
      <c r="H265" s="173"/>
      <c r="I265" s="201"/>
      <c r="J265" s="172"/>
      <c r="K265" s="201"/>
      <c r="L265" s="172"/>
      <c r="M265" s="112"/>
      <c r="N265" s="112"/>
    </row>
    <row r="266" spans="1:14" x14ac:dyDescent="0.3">
      <c r="A266" s="182" t="s">
        <v>682</v>
      </c>
      <c r="B266" s="179" t="e">
        <f>#REF!</f>
        <v>#REF!</v>
      </c>
      <c r="C266" s="189" t="e">
        <f t="shared" si="22"/>
        <v>#REF!</v>
      </c>
      <c r="D266" s="179" t="e">
        <f>#REF!</f>
        <v>#REF!</v>
      </c>
      <c r="E266" s="189" t="e">
        <f t="shared" si="23"/>
        <v>#REF!</v>
      </c>
      <c r="F266" s="179" t="e">
        <f t="shared" si="24"/>
        <v>#REF!</v>
      </c>
      <c r="G266" s="112"/>
      <c r="H266" s="171"/>
      <c r="I266" s="201"/>
      <c r="J266" s="172"/>
      <c r="K266" s="201"/>
      <c r="L266" s="172"/>
      <c r="M266" s="112"/>
      <c r="N266" s="112"/>
    </row>
    <row r="267" spans="1:14" x14ac:dyDescent="0.3">
      <c r="A267" s="182" t="s">
        <v>683</v>
      </c>
      <c r="B267" s="179" t="e">
        <f>#REF!</f>
        <v>#REF!</v>
      </c>
      <c r="C267" s="189" t="e">
        <f t="shared" si="22"/>
        <v>#REF!</v>
      </c>
      <c r="D267" s="179" t="e">
        <f>#REF!</f>
        <v>#REF!</v>
      </c>
      <c r="E267" s="189" t="e">
        <f t="shared" si="23"/>
        <v>#REF!</v>
      </c>
      <c r="F267" s="179" t="e">
        <f t="shared" si="24"/>
        <v>#REF!</v>
      </c>
      <c r="G267" s="112"/>
      <c r="H267" s="173"/>
      <c r="I267" s="201"/>
      <c r="J267" s="172"/>
      <c r="K267" s="201"/>
      <c r="L267" s="172"/>
      <c r="M267" s="112"/>
      <c r="N267" s="112"/>
    </row>
    <row r="268" spans="1:14" x14ac:dyDescent="0.3">
      <c r="A268" s="182" t="s">
        <v>684</v>
      </c>
      <c r="B268" s="179" t="e">
        <f>#REF!</f>
        <v>#REF!</v>
      </c>
      <c r="C268" s="189" t="e">
        <f t="shared" si="22"/>
        <v>#REF!</v>
      </c>
      <c r="D268" s="179" t="e">
        <f>#REF!</f>
        <v>#REF!</v>
      </c>
      <c r="E268" s="189" t="e">
        <f t="shared" si="23"/>
        <v>#REF!</v>
      </c>
      <c r="F268" s="179" t="e">
        <f t="shared" si="24"/>
        <v>#REF!</v>
      </c>
      <c r="G268" s="112"/>
      <c r="H268" s="171"/>
      <c r="I268" s="201"/>
      <c r="J268" s="172"/>
      <c r="K268" s="201"/>
      <c r="L268" s="172"/>
      <c r="M268" s="112"/>
      <c r="N268" s="112"/>
    </row>
    <row r="269" spans="1:14" x14ac:dyDescent="0.3">
      <c r="A269" s="182" t="s">
        <v>685</v>
      </c>
      <c r="B269" s="179" t="e">
        <f>#REF!</f>
        <v>#REF!</v>
      </c>
      <c r="C269" s="189" t="e">
        <f t="shared" si="22"/>
        <v>#REF!</v>
      </c>
      <c r="D269" s="179" t="e">
        <f>#REF!</f>
        <v>#REF!</v>
      </c>
      <c r="E269" s="189" t="e">
        <f t="shared" si="23"/>
        <v>#REF!</v>
      </c>
      <c r="F269" s="179" t="e">
        <f t="shared" si="24"/>
        <v>#REF!</v>
      </c>
      <c r="G269" s="112"/>
      <c r="N269" s="112"/>
    </row>
    <row r="270" spans="1:14" x14ac:dyDescent="0.3">
      <c r="A270" s="178" t="s">
        <v>100</v>
      </c>
      <c r="B270" s="179" t="e">
        <f>#REF!</f>
        <v>#REF!</v>
      </c>
      <c r="C270" s="189" t="e">
        <f t="shared" si="22"/>
        <v>#REF!</v>
      </c>
      <c r="D270" s="179" t="e">
        <f>#REF!</f>
        <v>#REF!</v>
      </c>
      <c r="E270" s="189" t="e">
        <f t="shared" si="23"/>
        <v>#REF!</v>
      </c>
      <c r="F270" s="179" t="e">
        <f t="shared" si="24"/>
        <v>#REF!</v>
      </c>
      <c r="G270" s="112"/>
      <c r="N270" s="112"/>
    </row>
    <row r="271" spans="1:14" x14ac:dyDescent="0.3">
      <c r="A271" s="182" t="s">
        <v>686</v>
      </c>
      <c r="B271" s="179" t="e">
        <f>#REF!</f>
        <v>#REF!</v>
      </c>
      <c r="C271" s="189" t="e">
        <f t="shared" si="22"/>
        <v>#REF!</v>
      </c>
      <c r="D271" s="179" t="e">
        <f>#REF!</f>
        <v>#REF!</v>
      </c>
      <c r="E271" s="189" t="e">
        <f t="shared" si="23"/>
        <v>#REF!</v>
      </c>
      <c r="F271" s="179" t="e">
        <f t="shared" si="24"/>
        <v>#REF!</v>
      </c>
      <c r="G271" s="112"/>
      <c r="N271" s="112"/>
    </row>
    <row r="272" spans="1:14" x14ac:dyDescent="0.3">
      <c r="A272" s="182" t="s">
        <v>687</v>
      </c>
      <c r="B272" s="179" t="e">
        <f>#REF!</f>
        <v>#REF!</v>
      </c>
      <c r="C272" s="189" t="e">
        <f t="shared" si="22"/>
        <v>#REF!</v>
      </c>
      <c r="D272" s="179" t="e">
        <f>#REF!</f>
        <v>#REF!</v>
      </c>
      <c r="E272" s="189" t="e">
        <f t="shared" si="23"/>
        <v>#REF!</v>
      </c>
      <c r="F272" s="179" t="e">
        <f t="shared" si="24"/>
        <v>#REF!</v>
      </c>
      <c r="G272" s="112"/>
      <c r="N272" s="112"/>
    </row>
    <row r="273" spans="1:14" x14ac:dyDescent="0.3">
      <c r="A273" s="182" t="s">
        <v>688</v>
      </c>
      <c r="B273" s="179" t="e">
        <f>#REF!</f>
        <v>#REF!</v>
      </c>
      <c r="C273" s="189" t="e">
        <f t="shared" si="22"/>
        <v>#REF!</v>
      </c>
      <c r="D273" s="179" t="e">
        <f>#REF!</f>
        <v>#REF!</v>
      </c>
      <c r="E273" s="189" t="e">
        <f t="shared" si="23"/>
        <v>#REF!</v>
      </c>
      <c r="F273" s="179" t="e">
        <f t="shared" si="24"/>
        <v>#REF!</v>
      </c>
      <c r="G273" s="112"/>
      <c r="N273" s="112"/>
    </row>
    <row r="274" spans="1:14" x14ac:dyDescent="0.3">
      <c r="A274" s="182" t="s">
        <v>689</v>
      </c>
      <c r="B274" s="179" t="e">
        <f>#REF!</f>
        <v>#REF!</v>
      </c>
      <c r="C274" s="189" t="e">
        <f t="shared" si="22"/>
        <v>#REF!</v>
      </c>
      <c r="D274" s="179" t="e">
        <f>#REF!</f>
        <v>#REF!</v>
      </c>
      <c r="E274" s="189" t="e">
        <f t="shared" si="23"/>
        <v>#REF!</v>
      </c>
      <c r="F274" s="179" t="e">
        <f t="shared" si="24"/>
        <v>#REF!</v>
      </c>
      <c r="G274" s="112"/>
      <c r="N274" s="112"/>
    </row>
    <row r="275" spans="1:14" x14ac:dyDescent="0.3">
      <c r="A275" s="182" t="s">
        <v>690</v>
      </c>
      <c r="B275" s="179" t="e">
        <f>#REF!</f>
        <v>#REF!</v>
      </c>
      <c r="C275" s="189" t="e">
        <f t="shared" si="22"/>
        <v>#REF!</v>
      </c>
      <c r="D275" s="179" t="e">
        <f>#REF!</f>
        <v>#REF!</v>
      </c>
      <c r="E275" s="189" t="e">
        <f t="shared" si="23"/>
        <v>#REF!</v>
      </c>
      <c r="F275" s="179" t="e">
        <f t="shared" si="24"/>
        <v>#REF!</v>
      </c>
      <c r="G275" s="112"/>
      <c r="N275" s="112"/>
    </row>
    <row r="276" spans="1:14" x14ac:dyDescent="0.3">
      <c r="A276" s="182" t="s">
        <v>760</v>
      </c>
      <c r="B276" s="179" t="e">
        <f>#REF!</f>
        <v>#REF!</v>
      </c>
      <c r="C276" s="189" t="e">
        <f t="shared" si="22"/>
        <v>#REF!</v>
      </c>
      <c r="D276" s="179" t="e">
        <f>#REF!</f>
        <v>#REF!</v>
      </c>
      <c r="E276" s="189" t="e">
        <f t="shared" si="23"/>
        <v>#REF!</v>
      </c>
      <c r="F276" s="179" t="e">
        <f t="shared" si="24"/>
        <v>#REF!</v>
      </c>
      <c r="G276" s="112"/>
      <c r="N276" s="112"/>
    </row>
    <row r="277" spans="1:14" x14ac:dyDescent="0.3">
      <c r="A277" s="182" t="s">
        <v>691</v>
      </c>
      <c r="B277" s="179" t="e">
        <f>#REF!</f>
        <v>#REF!</v>
      </c>
      <c r="C277" s="189" t="e">
        <f t="shared" si="22"/>
        <v>#REF!</v>
      </c>
      <c r="D277" s="179" t="e">
        <f>#REF!</f>
        <v>#REF!</v>
      </c>
      <c r="E277" s="189" t="e">
        <f t="shared" si="23"/>
        <v>#REF!</v>
      </c>
      <c r="F277" s="179" t="e">
        <f t="shared" si="24"/>
        <v>#REF!</v>
      </c>
      <c r="G277" s="112"/>
      <c r="N277" s="112"/>
    </row>
    <row r="278" spans="1:14" x14ac:dyDescent="0.3">
      <c r="A278" s="182" t="s">
        <v>692</v>
      </c>
      <c r="B278" s="179" t="e">
        <f>#REF!</f>
        <v>#REF!</v>
      </c>
      <c r="C278" s="189" t="e">
        <f t="shared" si="22"/>
        <v>#REF!</v>
      </c>
      <c r="D278" s="179" t="e">
        <f>#REF!</f>
        <v>#REF!</v>
      </c>
      <c r="E278" s="189" t="e">
        <f t="shared" si="23"/>
        <v>#REF!</v>
      </c>
      <c r="F278" s="179" t="e">
        <f t="shared" si="24"/>
        <v>#REF!</v>
      </c>
      <c r="G278" s="112"/>
      <c r="N278" s="112"/>
    </row>
    <row r="279" spans="1:14" x14ac:dyDescent="0.3">
      <c r="A279" s="182" t="s">
        <v>693</v>
      </c>
      <c r="B279" s="179" t="e">
        <f>#REF!</f>
        <v>#REF!</v>
      </c>
      <c r="C279" s="189" t="e">
        <f t="shared" si="22"/>
        <v>#REF!</v>
      </c>
      <c r="D279" s="179" t="e">
        <f>#REF!</f>
        <v>#REF!</v>
      </c>
      <c r="E279" s="189" t="e">
        <f t="shared" si="23"/>
        <v>#REF!</v>
      </c>
      <c r="F279" s="179" t="e">
        <f t="shared" si="24"/>
        <v>#REF!</v>
      </c>
      <c r="G279" s="112"/>
      <c r="N279" s="112"/>
    </row>
    <row r="280" spans="1:14" x14ac:dyDescent="0.3">
      <c r="A280" s="182" t="s">
        <v>694</v>
      </c>
      <c r="B280" s="179" t="e">
        <f>#REF!</f>
        <v>#REF!</v>
      </c>
      <c r="C280" s="189" t="e">
        <f t="shared" si="22"/>
        <v>#REF!</v>
      </c>
      <c r="D280" s="179" t="e">
        <f>#REF!</f>
        <v>#REF!</v>
      </c>
      <c r="E280" s="189" t="e">
        <f t="shared" si="23"/>
        <v>#REF!</v>
      </c>
      <c r="F280" s="179" t="e">
        <f t="shared" si="24"/>
        <v>#REF!</v>
      </c>
      <c r="G280" s="112"/>
      <c r="N280" s="112"/>
    </row>
    <row r="281" spans="1:14" x14ac:dyDescent="0.3">
      <c r="A281" s="182" t="s">
        <v>695</v>
      </c>
      <c r="B281" s="179" t="e">
        <f>#REF!</f>
        <v>#REF!</v>
      </c>
      <c r="C281" s="189" t="e">
        <f t="shared" si="22"/>
        <v>#REF!</v>
      </c>
      <c r="D281" s="179" t="e">
        <f>#REF!</f>
        <v>#REF!</v>
      </c>
      <c r="E281" s="189" t="e">
        <f t="shared" si="23"/>
        <v>#REF!</v>
      </c>
      <c r="F281" s="179" t="e">
        <f t="shared" si="24"/>
        <v>#REF!</v>
      </c>
      <c r="G281" s="112"/>
      <c r="N281" s="112"/>
    </row>
    <row r="282" spans="1:14" x14ac:dyDescent="0.3">
      <c r="A282" s="182" t="s">
        <v>696</v>
      </c>
      <c r="B282" s="179" t="e">
        <f>#REF!</f>
        <v>#REF!</v>
      </c>
      <c r="C282" s="189" t="e">
        <f t="shared" si="22"/>
        <v>#REF!</v>
      </c>
      <c r="D282" s="179" t="e">
        <f>#REF!</f>
        <v>#REF!</v>
      </c>
      <c r="E282" s="189" t="e">
        <f t="shared" si="23"/>
        <v>#REF!</v>
      </c>
      <c r="F282" s="179" t="e">
        <f t="shared" si="24"/>
        <v>#REF!</v>
      </c>
      <c r="G282" s="112"/>
      <c r="N282" s="112"/>
    </row>
    <row r="283" spans="1:14" x14ac:dyDescent="0.3">
      <c r="A283" s="182" t="s">
        <v>697</v>
      </c>
      <c r="B283" s="179" t="e">
        <f>#REF!</f>
        <v>#REF!</v>
      </c>
      <c r="C283" s="189" t="e">
        <f t="shared" si="22"/>
        <v>#REF!</v>
      </c>
      <c r="D283" s="179" t="e">
        <f>#REF!</f>
        <v>#REF!</v>
      </c>
      <c r="E283" s="189" t="e">
        <f t="shared" si="23"/>
        <v>#REF!</v>
      </c>
      <c r="F283" s="179" t="e">
        <f t="shared" si="24"/>
        <v>#REF!</v>
      </c>
      <c r="G283" s="112"/>
      <c r="N283" s="112"/>
    </row>
    <row r="284" spans="1:14" x14ac:dyDescent="0.3">
      <c r="A284" s="182" t="s">
        <v>698</v>
      </c>
      <c r="B284" s="179" t="e">
        <f>#REF!</f>
        <v>#REF!</v>
      </c>
      <c r="C284" s="189" t="e">
        <f t="shared" si="22"/>
        <v>#REF!</v>
      </c>
      <c r="D284" s="179" t="e">
        <f>#REF!</f>
        <v>#REF!</v>
      </c>
      <c r="E284" s="189" t="e">
        <f t="shared" si="23"/>
        <v>#REF!</v>
      </c>
      <c r="F284" s="179" t="e">
        <f t="shared" si="24"/>
        <v>#REF!</v>
      </c>
      <c r="G284" s="112"/>
      <c r="N284" s="112"/>
    </row>
    <row r="285" spans="1:14" x14ac:dyDescent="0.3">
      <c r="A285" s="182" t="s">
        <v>699</v>
      </c>
      <c r="B285" s="179" t="e">
        <f>#REF!</f>
        <v>#REF!</v>
      </c>
      <c r="C285" s="189" t="e">
        <f t="shared" si="22"/>
        <v>#REF!</v>
      </c>
      <c r="D285" s="179" t="e">
        <f>#REF!</f>
        <v>#REF!</v>
      </c>
      <c r="E285" s="189" t="e">
        <f t="shared" si="23"/>
        <v>#REF!</v>
      </c>
      <c r="F285" s="179" t="e">
        <f t="shared" si="24"/>
        <v>#REF!</v>
      </c>
      <c r="G285" s="112"/>
      <c r="N285" s="112"/>
    </row>
    <row r="286" spans="1:14" x14ac:dyDescent="0.3">
      <c r="A286" s="182" t="s">
        <v>700</v>
      </c>
      <c r="B286" s="179" t="e">
        <f>#REF!</f>
        <v>#REF!</v>
      </c>
      <c r="C286" s="189" t="e">
        <f t="shared" si="22"/>
        <v>#REF!</v>
      </c>
      <c r="D286" s="179" t="e">
        <f>#REF!</f>
        <v>#REF!</v>
      </c>
      <c r="E286" s="189" t="e">
        <f t="shared" si="23"/>
        <v>#REF!</v>
      </c>
      <c r="F286" s="179" t="e">
        <f t="shared" si="24"/>
        <v>#REF!</v>
      </c>
      <c r="G286" s="112"/>
      <c r="N286" s="112"/>
    </row>
    <row r="287" spans="1:14" x14ac:dyDescent="0.3">
      <c r="A287" s="182" t="s">
        <v>701</v>
      </c>
      <c r="B287" s="179" t="e">
        <f>#REF!</f>
        <v>#REF!</v>
      </c>
      <c r="C287" s="189" t="e">
        <f t="shared" si="22"/>
        <v>#REF!</v>
      </c>
      <c r="D287" s="179" t="e">
        <f>#REF!</f>
        <v>#REF!</v>
      </c>
      <c r="E287" s="189" t="e">
        <f t="shared" si="23"/>
        <v>#REF!</v>
      </c>
      <c r="F287" s="179" t="e">
        <f t="shared" si="24"/>
        <v>#REF!</v>
      </c>
      <c r="G287" s="112"/>
      <c r="N287" s="112"/>
    </row>
    <row r="288" spans="1:14" x14ac:dyDescent="0.3">
      <c r="A288" s="182" t="s">
        <v>702</v>
      </c>
      <c r="B288" s="179" t="e">
        <f>#REF!</f>
        <v>#REF!</v>
      </c>
      <c r="C288" s="189" t="e">
        <f t="shared" ref="C288:C319" si="25">B288/$B$346</f>
        <v>#REF!</v>
      </c>
      <c r="D288" s="179" t="e">
        <f>#REF!</f>
        <v>#REF!</v>
      </c>
      <c r="E288" s="189" t="e">
        <f t="shared" ref="E288:E319" si="26">D288/$D$346</f>
        <v>#REF!</v>
      </c>
      <c r="F288" s="179" t="e">
        <f t="shared" ref="F288:F319" si="27">IF(C288=E288,100,IFERROR(C288/E288*100,9999))</f>
        <v>#REF!</v>
      </c>
      <c r="G288" s="112"/>
      <c r="N288" s="112"/>
    </row>
    <row r="289" spans="1:14" x14ac:dyDescent="0.3">
      <c r="A289" s="182" t="s">
        <v>703</v>
      </c>
      <c r="B289" s="179" t="e">
        <f>#REF!</f>
        <v>#REF!</v>
      </c>
      <c r="C289" s="189" t="e">
        <f t="shared" si="25"/>
        <v>#REF!</v>
      </c>
      <c r="D289" s="179" t="e">
        <f>#REF!</f>
        <v>#REF!</v>
      </c>
      <c r="E289" s="189" t="e">
        <f t="shared" si="26"/>
        <v>#REF!</v>
      </c>
      <c r="F289" s="179" t="e">
        <f t="shared" si="27"/>
        <v>#REF!</v>
      </c>
      <c r="G289" s="112"/>
      <c r="N289" s="112"/>
    </row>
    <row r="290" spans="1:14" x14ac:dyDescent="0.3">
      <c r="A290" s="182" t="s">
        <v>704</v>
      </c>
      <c r="B290" s="179" t="e">
        <f>#REF!</f>
        <v>#REF!</v>
      </c>
      <c r="C290" s="189" t="e">
        <f t="shared" si="25"/>
        <v>#REF!</v>
      </c>
      <c r="D290" s="179" t="e">
        <f>#REF!</f>
        <v>#REF!</v>
      </c>
      <c r="E290" s="189" t="e">
        <f t="shared" si="26"/>
        <v>#REF!</v>
      </c>
      <c r="F290" s="179" t="e">
        <f t="shared" si="27"/>
        <v>#REF!</v>
      </c>
      <c r="G290" s="112"/>
      <c r="N290" s="112"/>
    </row>
    <row r="291" spans="1:14" x14ac:dyDescent="0.3">
      <c r="A291" s="182" t="s">
        <v>705</v>
      </c>
      <c r="B291" s="179" t="e">
        <f>#REF!</f>
        <v>#REF!</v>
      </c>
      <c r="C291" s="189" t="e">
        <f t="shared" si="25"/>
        <v>#REF!</v>
      </c>
      <c r="D291" s="179" t="e">
        <f>#REF!</f>
        <v>#REF!</v>
      </c>
      <c r="E291" s="189" t="e">
        <f t="shared" si="26"/>
        <v>#REF!</v>
      </c>
      <c r="F291" s="179" t="e">
        <f t="shared" si="27"/>
        <v>#REF!</v>
      </c>
      <c r="G291" s="112"/>
      <c r="N291" s="112"/>
    </row>
    <row r="292" spans="1:14" x14ac:dyDescent="0.3">
      <c r="A292" s="182" t="s">
        <v>706</v>
      </c>
      <c r="B292" s="179" t="e">
        <f>#REF!</f>
        <v>#REF!</v>
      </c>
      <c r="C292" s="189" t="e">
        <f t="shared" si="25"/>
        <v>#REF!</v>
      </c>
      <c r="D292" s="179" t="e">
        <f>#REF!</f>
        <v>#REF!</v>
      </c>
      <c r="E292" s="189" t="e">
        <f t="shared" si="26"/>
        <v>#REF!</v>
      </c>
      <c r="F292" s="179" t="e">
        <f t="shared" si="27"/>
        <v>#REF!</v>
      </c>
      <c r="G292" s="112"/>
      <c r="N292" s="112"/>
    </row>
    <row r="293" spans="1:14" x14ac:dyDescent="0.3">
      <c r="A293" s="182" t="s">
        <v>707</v>
      </c>
      <c r="B293" s="179" t="e">
        <f>#REF!</f>
        <v>#REF!</v>
      </c>
      <c r="C293" s="189" t="e">
        <f t="shared" si="25"/>
        <v>#REF!</v>
      </c>
      <c r="D293" s="179" t="e">
        <f>#REF!</f>
        <v>#REF!</v>
      </c>
      <c r="E293" s="189" t="e">
        <f t="shared" si="26"/>
        <v>#REF!</v>
      </c>
      <c r="F293" s="179" t="e">
        <f t="shared" si="27"/>
        <v>#REF!</v>
      </c>
      <c r="G293" s="112"/>
      <c r="N293" s="112"/>
    </row>
    <row r="294" spans="1:14" x14ac:dyDescent="0.3">
      <c r="A294" s="182" t="s">
        <v>708</v>
      </c>
      <c r="B294" s="179" t="e">
        <f>#REF!</f>
        <v>#REF!</v>
      </c>
      <c r="C294" s="189" t="e">
        <f t="shared" si="25"/>
        <v>#REF!</v>
      </c>
      <c r="D294" s="179" t="e">
        <f>#REF!</f>
        <v>#REF!</v>
      </c>
      <c r="E294" s="189" t="e">
        <f t="shared" si="26"/>
        <v>#REF!</v>
      </c>
      <c r="F294" s="179" t="e">
        <f t="shared" si="27"/>
        <v>#REF!</v>
      </c>
      <c r="G294" s="112"/>
      <c r="N294" s="112"/>
    </row>
    <row r="295" spans="1:14" x14ac:dyDescent="0.3">
      <c r="A295" s="182" t="s">
        <v>709</v>
      </c>
      <c r="B295" s="179" t="e">
        <f>#REF!</f>
        <v>#REF!</v>
      </c>
      <c r="C295" s="189" t="e">
        <f t="shared" si="25"/>
        <v>#REF!</v>
      </c>
      <c r="D295" s="179" t="e">
        <f>#REF!</f>
        <v>#REF!</v>
      </c>
      <c r="E295" s="189" t="e">
        <f t="shared" si="26"/>
        <v>#REF!</v>
      </c>
      <c r="F295" s="179" t="e">
        <f t="shared" si="27"/>
        <v>#REF!</v>
      </c>
      <c r="G295" s="112"/>
      <c r="N295" s="112"/>
    </row>
    <row r="296" spans="1:14" x14ac:dyDescent="0.3">
      <c r="A296" s="182" t="s">
        <v>710</v>
      </c>
      <c r="B296" s="179" t="e">
        <f>#REF!</f>
        <v>#REF!</v>
      </c>
      <c r="C296" s="189" t="e">
        <f t="shared" si="25"/>
        <v>#REF!</v>
      </c>
      <c r="D296" s="179" t="e">
        <f>#REF!</f>
        <v>#REF!</v>
      </c>
      <c r="E296" s="189" t="e">
        <f t="shared" si="26"/>
        <v>#REF!</v>
      </c>
      <c r="F296" s="179" t="e">
        <f t="shared" si="27"/>
        <v>#REF!</v>
      </c>
      <c r="G296" s="112"/>
      <c r="N296" s="112"/>
    </row>
    <row r="297" spans="1:14" x14ac:dyDescent="0.3">
      <c r="A297" s="182" t="s">
        <v>711</v>
      </c>
      <c r="B297" s="179" t="e">
        <f>#REF!</f>
        <v>#REF!</v>
      </c>
      <c r="C297" s="189" t="e">
        <f t="shared" si="25"/>
        <v>#REF!</v>
      </c>
      <c r="D297" s="179" t="e">
        <f>#REF!</f>
        <v>#REF!</v>
      </c>
      <c r="E297" s="189" t="e">
        <f t="shared" si="26"/>
        <v>#REF!</v>
      </c>
      <c r="F297" s="179" t="e">
        <f t="shared" si="27"/>
        <v>#REF!</v>
      </c>
      <c r="G297" s="112"/>
      <c r="N297" s="112"/>
    </row>
    <row r="298" spans="1:14" x14ac:dyDescent="0.3">
      <c r="A298" s="182" t="s">
        <v>712</v>
      </c>
      <c r="B298" s="179" t="e">
        <f>#REF!</f>
        <v>#REF!</v>
      </c>
      <c r="C298" s="189" t="e">
        <f t="shared" si="25"/>
        <v>#REF!</v>
      </c>
      <c r="D298" s="179" t="e">
        <f>#REF!</f>
        <v>#REF!</v>
      </c>
      <c r="E298" s="189" t="e">
        <f t="shared" si="26"/>
        <v>#REF!</v>
      </c>
      <c r="F298" s="179" t="e">
        <f t="shared" si="27"/>
        <v>#REF!</v>
      </c>
      <c r="G298" s="112"/>
      <c r="N298" s="112"/>
    </row>
    <row r="299" spans="1:14" x14ac:dyDescent="0.3">
      <c r="A299" s="182" t="s">
        <v>713</v>
      </c>
      <c r="B299" s="179" t="e">
        <f>#REF!</f>
        <v>#REF!</v>
      </c>
      <c r="C299" s="189" t="e">
        <f t="shared" si="25"/>
        <v>#REF!</v>
      </c>
      <c r="D299" s="179" t="e">
        <f>#REF!</f>
        <v>#REF!</v>
      </c>
      <c r="E299" s="189" t="e">
        <f t="shared" si="26"/>
        <v>#REF!</v>
      </c>
      <c r="F299" s="179" t="e">
        <f t="shared" si="27"/>
        <v>#REF!</v>
      </c>
      <c r="G299" s="112"/>
      <c r="N299" s="112"/>
    </row>
    <row r="300" spans="1:14" x14ac:dyDescent="0.3">
      <c r="A300" s="182" t="s">
        <v>714</v>
      </c>
      <c r="B300" s="179" t="e">
        <f>#REF!</f>
        <v>#REF!</v>
      </c>
      <c r="C300" s="189" t="e">
        <f t="shared" si="25"/>
        <v>#REF!</v>
      </c>
      <c r="D300" s="179" t="e">
        <f>#REF!</f>
        <v>#REF!</v>
      </c>
      <c r="E300" s="189" t="e">
        <f t="shared" si="26"/>
        <v>#REF!</v>
      </c>
      <c r="F300" s="179" t="e">
        <f t="shared" si="27"/>
        <v>#REF!</v>
      </c>
      <c r="G300" s="112"/>
      <c r="N300" s="112"/>
    </row>
    <row r="301" spans="1:14" x14ac:dyDescent="0.3">
      <c r="A301" s="182" t="s">
        <v>715</v>
      </c>
      <c r="B301" s="179" t="e">
        <f>#REF!</f>
        <v>#REF!</v>
      </c>
      <c r="C301" s="189" t="e">
        <f t="shared" si="25"/>
        <v>#REF!</v>
      </c>
      <c r="D301" s="179" t="e">
        <f>#REF!</f>
        <v>#REF!</v>
      </c>
      <c r="E301" s="189" t="e">
        <f t="shared" si="26"/>
        <v>#REF!</v>
      </c>
      <c r="F301" s="179" t="e">
        <f t="shared" si="27"/>
        <v>#REF!</v>
      </c>
      <c r="G301" s="112"/>
      <c r="N301" s="112"/>
    </row>
    <row r="302" spans="1:14" x14ac:dyDescent="0.3">
      <c r="A302" s="182" t="s">
        <v>716</v>
      </c>
      <c r="B302" s="179" t="e">
        <f>#REF!</f>
        <v>#REF!</v>
      </c>
      <c r="C302" s="189" t="e">
        <f t="shared" si="25"/>
        <v>#REF!</v>
      </c>
      <c r="D302" s="179" t="e">
        <f>#REF!</f>
        <v>#REF!</v>
      </c>
      <c r="E302" s="189" t="e">
        <f t="shared" si="26"/>
        <v>#REF!</v>
      </c>
      <c r="F302" s="179" t="e">
        <f t="shared" si="27"/>
        <v>#REF!</v>
      </c>
      <c r="G302" s="112"/>
      <c r="N302" s="112"/>
    </row>
    <row r="303" spans="1:14" x14ac:dyDescent="0.3">
      <c r="A303" s="182" t="s">
        <v>717</v>
      </c>
      <c r="B303" s="179" t="e">
        <f>#REF!</f>
        <v>#REF!</v>
      </c>
      <c r="C303" s="189" t="e">
        <f t="shared" si="25"/>
        <v>#REF!</v>
      </c>
      <c r="D303" s="179" t="e">
        <f>#REF!</f>
        <v>#REF!</v>
      </c>
      <c r="E303" s="189" t="e">
        <f t="shared" si="26"/>
        <v>#REF!</v>
      </c>
      <c r="F303" s="179" t="e">
        <f t="shared" si="27"/>
        <v>#REF!</v>
      </c>
      <c r="G303" s="112"/>
      <c r="N303" s="112"/>
    </row>
    <row r="304" spans="1:14" x14ac:dyDescent="0.3">
      <c r="A304" s="182" t="s">
        <v>718</v>
      </c>
      <c r="B304" s="179" t="e">
        <f>#REF!</f>
        <v>#REF!</v>
      </c>
      <c r="C304" s="189" t="e">
        <f t="shared" si="25"/>
        <v>#REF!</v>
      </c>
      <c r="D304" s="179" t="e">
        <f>#REF!</f>
        <v>#REF!</v>
      </c>
      <c r="E304" s="189" t="e">
        <f t="shared" si="26"/>
        <v>#REF!</v>
      </c>
      <c r="F304" s="179" t="e">
        <f t="shared" si="27"/>
        <v>#REF!</v>
      </c>
      <c r="G304" s="112"/>
      <c r="N304" s="112"/>
    </row>
    <row r="305" spans="1:14" x14ac:dyDescent="0.3">
      <c r="A305" s="182" t="s">
        <v>719</v>
      </c>
      <c r="B305" s="179" t="e">
        <f>#REF!</f>
        <v>#REF!</v>
      </c>
      <c r="C305" s="189" t="e">
        <f t="shared" si="25"/>
        <v>#REF!</v>
      </c>
      <c r="D305" s="179" t="e">
        <f>#REF!</f>
        <v>#REF!</v>
      </c>
      <c r="E305" s="189" t="e">
        <f t="shared" si="26"/>
        <v>#REF!</v>
      </c>
      <c r="F305" s="179" t="e">
        <f t="shared" si="27"/>
        <v>#REF!</v>
      </c>
      <c r="G305" s="112"/>
      <c r="N305" s="112"/>
    </row>
    <row r="306" spans="1:14" x14ac:dyDescent="0.3">
      <c r="A306" s="182" t="s">
        <v>720</v>
      </c>
      <c r="B306" s="179" t="e">
        <f>#REF!</f>
        <v>#REF!</v>
      </c>
      <c r="C306" s="189" t="e">
        <f t="shared" si="25"/>
        <v>#REF!</v>
      </c>
      <c r="D306" s="179" t="e">
        <f>#REF!</f>
        <v>#REF!</v>
      </c>
      <c r="E306" s="189" t="e">
        <f t="shared" si="26"/>
        <v>#REF!</v>
      </c>
      <c r="F306" s="179" t="e">
        <f t="shared" si="27"/>
        <v>#REF!</v>
      </c>
      <c r="G306" s="112"/>
      <c r="N306" s="112"/>
    </row>
    <row r="307" spans="1:14" x14ac:dyDescent="0.3">
      <c r="A307" s="182" t="s">
        <v>721</v>
      </c>
      <c r="B307" s="179" t="e">
        <f>#REF!</f>
        <v>#REF!</v>
      </c>
      <c r="C307" s="189" t="e">
        <f t="shared" si="25"/>
        <v>#REF!</v>
      </c>
      <c r="D307" s="179" t="e">
        <f>#REF!</f>
        <v>#REF!</v>
      </c>
      <c r="E307" s="189" t="e">
        <f t="shared" si="26"/>
        <v>#REF!</v>
      </c>
      <c r="F307" s="179" t="e">
        <f t="shared" si="27"/>
        <v>#REF!</v>
      </c>
      <c r="G307" s="112"/>
      <c r="N307" s="112"/>
    </row>
    <row r="308" spans="1:14" x14ac:dyDescent="0.3">
      <c r="A308" s="182" t="s">
        <v>722</v>
      </c>
      <c r="B308" s="179" t="e">
        <f>#REF!</f>
        <v>#REF!</v>
      </c>
      <c r="C308" s="189" t="e">
        <f t="shared" si="25"/>
        <v>#REF!</v>
      </c>
      <c r="D308" s="179" t="e">
        <f>#REF!</f>
        <v>#REF!</v>
      </c>
      <c r="E308" s="189" t="e">
        <f t="shared" si="26"/>
        <v>#REF!</v>
      </c>
      <c r="F308" s="179" t="e">
        <f t="shared" si="27"/>
        <v>#REF!</v>
      </c>
      <c r="G308" s="112"/>
      <c r="N308" s="112"/>
    </row>
    <row r="309" spans="1:14" x14ac:dyDescent="0.3">
      <c r="A309" s="182" t="s">
        <v>723</v>
      </c>
      <c r="B309" s="179" t="e">
        <f>#REF!</f>
        <v>#REF!</v>
      </c>
      <c r="C309" s="189" t="e">
        <f t="shared" si="25"/>
        <v>#REF!</v>
      </c>
      <c r="D309" s="179" t="e">
        <f>#REF!</f>
        <v>#REF!</v>
      </c>
      <c r="E309" s="189" t="e">
        <f t="shared" si="26"/>
        <v>#REF!</v>
      </c>
      <c r="F309" s="179" t="e">
        <f t="shared" si="27"/>
        <v>#REF!</v>
      </c>
      <c r="G309" s="112"/>
      <c r="N309" s="112"/>
    </row>
    <row r="310" spans="1:14" x14ac:dyDescent="0.3">
      <c r="A310" s="182" t="s">
        <v>724</v>
      </c>
      <c r="B310" s="179" t="e">
        <f>#REF!</f>
        <v>#REF!</v>
      </c>
      <c r="C310" s="189" t="e">
        <f t="shared" si="25"/>
        <v>#REF!</v>
      </c>
      <c r="D310" s="179" t="e">
        <f>#REF!</f>
        <v>#REF!</v>
      </c>
      <c r="E310" s="189" t="e">
        <f t="shared" si="26"/>
        <v>#REF!</v>
      </c>
      <c r="F310" s="179" t="e">
        <f t="shared" si="27"/>
        <v>#REF!</v>
      </c>
      <c r="G310" s="112"/>
      <c r="N310" s="112"/>
    </row>
    <row r="311" spans="1:14" x14ac:dyDescent="0.3">
      <c r="A311" s="182" t="s">
        <v>725</v>
      </c>
      <c r="B311" s="179" t="e">
        <f>#REF!</f>
        <v>#REF!</v>
      </c>
      <c r="C311" s="189" t="e">
        <f t="shared" si="25"/>
        <v>#REF!</v>
      </c>
      <c r="D311" s="179" t="e">
        <f>#REF!</f>
        <v>#REF!</v>
      </c>
      <c r="E311" s="189" t="e">
        <f t="shared" si="26"/>
        <v>#REF!</v>
      </c>
      <c r="F311" s="179" t="e">
        <f t="shared" si="27"/>
        <v>#REF!</v>
      </c>
      <c r="G311" s="112"/>
      <c r="N311" s="112"/>
    </row>
    <row r="312" spans="1:14" x14ac:dyDescent="0.3">
      <c r="A312" s="182" t="s">
        <v>726</v>
      </c>
      <c r="B312" s="179" t="e">
        <f>#REF!</f>
        <v>#REF!</v>
      </c>
      <c r="C312" s="189" t="e">
        <f t="shared" si="25"/>
        <v>#REF!</v>
      </c>
      <c r="D312" s="179" t="e">
        <f>#REF!</f>
        <v>#REF!</v>
      </c>
      <c r="E312" s="189" t="e">
        <f t="shared" si="26"/>
        <v>#REF!</v>
      </c>
      <c r="F312" s="179" t="e">
        <f t="shared" si="27"/>
        <v>#REF!</v>
      </c>
      <c r="G312" s="112"/>
      <c r="N312" s="112"/>
    </row>
    <row r="313" spans="1:14" x14ac:dyDescent="0.3">
      <c r="A313" s="182" t="s">
        <v>727</v>
      </c>
      <c r="B313" s="179" t="e">
        <f>#REF!</f>
        <v>#REF!</v>
      </c>
      <c r="C313" s="189" t="e">
        <f t="shared" si="25"/>
        <v>#REF!</v>
      </c>
      <c r="D313" s="179" t="e">
        <f>#REF!</f>
        <v>#REF!</v>
      </c>
      <c r="E313" s="189" t="e">
        <f t="shared" si="26"/>
        <v>#REF!</v>
      </c>
      <c r="F313" s="179" t="e">
        <f t="shared" si="27"/>
        <v>#REF!</v>
      </c>
      <c r="G313" s="112"/>
      <c r="N313" s="112"/>
    </row>
    <row r="314" spans="1:14" x14ac:dyDescent="0.3">
      <c r="A314" s="182" t="s">
        <v>728</v>
      </c>
      <c r="B314" s="179" t="e">
        <f>#REF!</f>
        <v>#REF!</v>
      </c>
      <c r="C314" s="189" t="e">
        <f t="shared" si="25"/>
        <v>#REF!</v>
      </c>
      <c r="D314" s="179" t="e">
        <f>#REF!</f>
        <v>#REF!</v>
      </c>
      <c r="E314" s="189" t="e">
        <f t="shared" si="26"/>
        <v>#REF!</v>
      </c>
      <c r="F314" s="179" t="e">
        <f t="shared" si="27"/>
        <v>#REF!</v>
      </c>
      <c r="G314" s="112"/>
      <c r="N314" s="112"/>
    </row>
    <row r="315" spans="1:14" x14ac:dyDescent="0.3">
      <c r="A315" s="182" t="s">
        <v>729</v>
      </c>
      <c r="B315" s="179" t="e">
        <f>#REF!</f>
        <v>#REF!</v>
      </c>
      <c r="C315" s="189" t="e">
        <f t="shared" si="25"/>
        <v>#REF!</v>
      </c>
      <c r="D315" s="179" t="e">
        <f>#REF!</f>
        <v>#REF!</v>
      </c>
      <c r="E315" s="189" t="e">
        <f t="shared" si="26"/>
        <v>#REF!</v>
      </c>
      <c r="F315" s="179" t="e">
        <f t="shared" si="27"/>
        <v>#REF!</v>
      </c>
      <c r="G315" s="112"/>
      <c r="N315" s="112"/>
    </row>
    <row r="316" spans="1:14" x14ac:dyDescent="0.3">
      <c r="A316" s="182" t="s">
        <v>730</v>
      </c>
      <c r="B316" s="179" t="e">
        <f>#REF!</f>
        <v>#REF!</v>
      </c>
      <c r="C316" s="189" t="e">
        <f t="shared" si="25"/>
        <v>#REF!</v>
      </c>
      <c r="D316" s="179" t="e">
        <f>#REF!</f>
        <v>#REF!</v>
      </c>
      <c r="E316" s="189" t="e">
        <f t="shared" si="26"/>
        <v>#REF!</v>
      </c>
      <c r="F316" s="179" t="e">
        <f t="shared" si="27"/>
        <v>#REF!</v>
      </c>
      <c r="G316" s="112"/>
      <c r="N316" s="112"/>
    </row>
    <row r="317" spans="1:14" x14ac:dyDescent="0.3">
      <c r="A317" s="182" t="s">
        <v>731</v>
      </c>
      <c r="B317" s="179" t="e">
        <f>#REF!</f>
        <v>#REF!</v>
      </c>
      <c r="C317" s="189" t="e">
        <f t="shared" si="25"/>
        <v>#REF!</v>
      </c>
      <c r="D317" s="179" t="e">
        <f>#REF!</f>
        <v>#REF!</v>
      </c>
      <c r="E317" s="189" t="e">
        <f t="shared" si="26"/>
        <v>#REF!</v>
      </c>
      <c r="F317" s="179" t="e">
        <f t="shared" si="27"/>
        <v>#REF!</v>
      </c>
      <c r="G317" s="112"/>
      <c r="N317" s="112"/>
    </row>
    <row r="318" spans="1:14" x14ac:dyDescent="0.3">
      <c r="A318" s="182" t="s">
        <v>732</v>
      </c>
      <c r="B318" s="179" t="e">
        <f>#REF!</f>
        <v>#REF!</v>
      </c>
      <c r="C318" s="189" t="e">
        <f t="shared" si="25"/>
        <v>#REF!</v>
      </c>
      <c r="D318" s="179" t="e">
        <f>#REF!</f>
        <v>#REF!</v>
      </c>
      <c r="E318" s="189" t="e">
        <f t="shared" si="26"/>
        <v>#REF!</v>
      </c>
      <c r="F318" s="179" t="e">
        <f t="shared" si="27"/>
        <v>#REF!</v>
      </c>
      <c r="G318" s="112"/>
      <c r="N318" s="112"/>
    </row>
    <row r="319" spans="1:14" x14ac:dyDescent="0.3">
      <c r="A319" s="182" t="s">
        <v>733</v>
      </c>
      <c r="B319" s="179" t="e">
        <f>#REF!</f>
        <v>#REF!</v>
      </c>
      <c r="C319" s="189" t="e">
        <f t="shared" si="25"/>
        <v>#REF!</v>
      </c>
      <c r="D319" s="179" t="e">
        <f>#REF!</f>
        <v>#REF!</v>
      </c>
      <c r="E319" s="189" t="e">
        <f t="shared" si="26"/>
        <v>#REF!</v>
      </c>
      <c r="F319" s="179" t="e">
        <f t="shared" si="27"/>
        <v>#REF!</v>
      </c>
      <c r="G319" s="112"/>
      <c r="N319" s="112"/>
    </row>
    <row r="320" spans="1:14" x14ac:dyDescent="0.3">
      <c r="A320" s="182" t="s">
        <v>734</v>
      </c>
      <c r="B320" s="179" t="e">
        <f>#REF!</f>
        <v>#REF!</v>
      </c>
      <c r="C320" s="189" t="e">
        <f t="shared" ref="C320:C345" si="28">B320/$B$346</f>
        <v>#REF!</v>
      </c>
      <c r="D320" s="179" t="e">
        <f>#REF!</f>
        <v>#REF!</v>
      </c>
      <c r="E320" s="189" t="e">
        <f t="shared" ref="E320:E345" si="29">D320/$D$346</f>
        <v>#REF!</v>
      </c>
      <c r="F320" s="179" t="e">
        <f t="shared" ref="F320:F345" si="30">IF(C320=E320,100,IFERROR(C320/E320*100,9999))</f>
        <v>#REF!</v>
      </c>
      <c r="G320" s="112"/>
      <c r="N320" s="112"/>
    </row>
    <row r="321" spans="1:14" x14ac:dyDescent="0.3">
      <c r="A321" s="182" t="s">
        <v>735</v>
      </c>
      <c r="B321" s="179" t="e">
        <f>#REF!</f>
        <v>#REF!</v>
      </c>
      <c r="C321" s="189" t="e">
        <f t="shared" si="28"/>
        <v>#REF!</v>
      </c>
      <c r="D321" s="179" t="e">
        <f>#REF!</f>
        <v>#REF!</v>
      </c>
      <c r="E321" s="189" t="e">
        <f t="shared" si="29"/>
        <v>#REF!</v>
      </c>
      <c r="F321" s="179" t="e">
        <f t="shared" si="30"/>
        <v>#REF!</v>
      </c>
      <c r="G321" s="112"/>
      <c r="N321" s="112"/>
    </row>
    <row r="322" spans="1:14" x14ac:dyDescent="0.3">
      <c r="A322" s="182" t="s">
        <v>736</v>
      </c>
      <c r="B322" s="179" t="e">
        <f>#REF!</f>
        <v>#REF!</v>
      </c>
      <c r="C322" s="189" t="e">
        <f t="shared" si="28"/>
        <v>#REF!</v>
      </c>
      <c r="D322" s="179" t="e">
        <f>#REF!</f>
        <v>#REF!</v>
      </c>
      <c r="E322" s="189" t="e">
        <f t="shared" si="29"/>
        <v>#REF!</v>
      </c>
      <c r="F322" s="179" t="e">
        <f t="shared" si="30"/>
        <v>#REF!</v>
      </c>
      <c r="G322" s="112"/>
      <c r="N322" s="112"/>
    </row>
    <row r="323" spans="1:14" x14ac:dyDescent="0.3">
      <c r="A323" s="182" t="s">
        <v>737</v>
      </c>
      <c r="B323" s="179" t="e">
        <f>#REF!</f>
        <v>#REF!</v>
      </c>
      <c r="C323" s="189" t="e">
        <f t="shared" si="28"/>
        <v>#REF!</v>
      </c>
      <c r="D323" s="179" t="e">
        <f>#REF!</f>
        <v>#REF!</v>
      </c>
      <c r="E323" s="189" t="e">
        <f t="shared" si="29"/>
        <v>#REF!</v>
      </c>
      <c r="F323" s="179" t="e">
        <f t="shared" si="30"/>
        <v>#REF!</v>
      </c>
      <c r="G323" s="112"/>
      <c r="N323" s="112"/>
    </row>
    <row r="324" spans="1:14" x14ac:dyDescent="0.3">
      <c r="A324" s="182" t="s">
        <v>738</v>
      </c>
      <c r="B324" s="179" t="e">
        <f>#REF!</f>
        <v>#REF!</v>
      </c>
      <c r="C324" s="189" t="e">
        <f t="shared" si="28"/>
        <v>#REF!</v>
      </c>
      <c r="D324" s="179" t="e">
        <f>#REF!</f>
        <v>#REF!</v>
      </c>
      <c r="E324" s="189" t="e">
        <f t="shared" si="29"/>
        <v>#REF!</v>
      </c>
      <c r="F324" s="179" t="e">
        <f t="shared" si="30"/>
        <v>#REF!</v>
      </c>
      <c r="G324" s="112"/>
      <c r="N324" s="112"/>
    </row>
    <row r="325" spans="1:14" x14ac:dyDescent="0.3">
      <c r="A325" s="182" t="s">
        <v>739</v>
      </c>
      <c r="B325" s="179" t="e">
        <f>#REF!</f>
        <v>#REF!</v>
      </c>
      <c r="C325" s="189" t="e">
        <f t="shared" si="28"/>
        <v>#REF!</v>
      </c>
      <c r="D325" s="179" t="e">
        <f>#REF!</f>
        <v>#REF!</v>
      </c>
      <c r="E325" s="189" t="e">
        <f t="shared" si="29"/>
        <v>#REF!</v>
      </c>
      <c r="F325" s="179" t="e">
        <f t="shared" si="30"/>
        <v>#REF!</v>
      </c>
      <c r="G325" s="112"/>
      <c r="N325" s="112"/>
    </row>
    <row r="326" spans="1:14" x14ac:dyDescent="0.3">
      <c r="A326" s="182" t="s">
        <v>740</v>
      </c>
      <c r="B326" s="179" t="e">
        <f>#REF!</f>
        <v>#REF!</v>
      </c>
      <c r="C326" s="189" t="e">
        <f t="shared" si="28"/>
        <v>#REF!</v>
      </c>
      <c r="D326" s="179" t="e">
        <f>#REF!</f>
        <v>#REF!</v>
      </c>
      <c r="E326" s="189" t="e">
        <f t="shared" si="29"/>
        <v>#REF!</v>
      </c>
      <c r="F326" s="179" t="e">
        <f t="shared" si="30"/>
        <v>#REF!</v>
      </c>
      <c r="G326" s="112"/>
      <c r="N326" s="112"/>
    </row>
    <row r="327" spans="1:14" x14ac:dyDescent="0.3">
      <c r="A327" s="182" t="s">
        <v>741</v>
      </c>
      <c r="B327" s="179" t="e">
        <f>#REF!</f>
        <v>#REF!</v>
      </c>
      <c r="C327" s="189" t="e">
        <f t="shared" si="28"/>
        <v>#REF!</v>
      </c>
      <c r="D327" s="179" t="e">
        <f>#REF!</f>
        <v>#REF!</v>
      </c>
      <c r="E327" s="189" t="e">
        <f t="shared" si="29"/>
        <v>#REF!</v>
      </c>
      <c r="F327" s="179" t="e">
        <f t="shared" si="30"/>
        <v>#REF!</v>
      </c>
      <c r="G327" s="112"/>
      <c r="N327" s="112"/>
    </row>
    <row r="328" spans="1:14" x14ac:dyDescent="0.3">
      <c r="A328" s="182" t="s">
        <v>742</v>
      </c>
      <c r="B328" s="179" t="e">
        <f>#REF!</f>
        <v>#REF!</v>
      </c>
      <c r="C328" s="189" t="e">
        <f t="shared" si="28"/>
        <v>#REF!</v>
      </c>
      <c r="D328" s="179" t="e">
        <f>#REF!</f>
        <v>#REF!</v>
      </c>
      <c r="E328" s="189" t="e">
        <f t="shared" si="29"/>
        <v>#REF!</v>
      </c>
      <c r="F328" s="179" t="e">
        <f t="shared" si="30"/>
        <v>#REF!</v>
      </c>
      <c r="G328" s="112"/>
      <c r="N328" s="112"/>
    </row>
    <row r="329" spans="1:14" x14ac:dyDescent="0.3">
      <c r="A329" s="182" t="s">
        <v>743</v>
      </c>
      <c r="B329" s="179" t="e">
        <f>#REF!</f>
        <v>#REF!</v>
      </c>
      <c r="C329" s="189" t="e">
        <f t="shared" si="28"/>
        <v>#REF!</v>
      </c>
      <c r="D329" s="179" t="e">
        <f>#REF!</f>
        <v>#REF!</v>
      </c>
      <c r="E329" s="189" t="e">
        <f t="shared" si="29"/>
        <v>#REF!</v>
      </c>
      <c r="F329" s="179" t="e">
        <f t="shared" si="30"/>
        <v>#REF!</v>
      </c>
      <c r="G329" s="112"/>
      <c r="N329" s="112"/>
    </row>
    <row r="330" spans="1:14" x14ac:dyDescent="0.3">
      <c r="A330" s="182" t="s">
        <v>744</v>
      </c>
      <c r="B330" s="179" t="e">
        <f>#REF!</f>
        <v>#REF!</v>
      </c>
      <c r="C330" s="189" t="e">
        <f t="shared" si="28"/>
        <v>#REF!</v>
      </c>
      <c r="D330" s="179" t="e">
        <f>#REF!</f>
        <v>#REF!</v>
      </c>
      <c r="E330" s="189" t="e">
        <f t="shared" si="29"/>
        <v>#REF!</v>
      </c>
      <c r="F330" s="179" t="e">
        <f t="shared" si="30"/>
        <v>#REF!</v>
      </c>
      <c r="G330" s="112"/>
      <c r="N330" s="112"/>
    </row>
    <row r="331" spans="1:14" x14ac:dyDescent="0.3">
      <c r="A331" s="182" t="s">
        <v>745</v>
      </c>
      <c r="B331" s="179" t="e">
        <f>#REF!</f>
        <v>#REF!</v>
      </c>
      <c r="C331" s="189" t="e">
        <f t="shared" si="28"/>
        <v>#REF!</v>
      </c>
      <c r="D331" s="179" t="e">
        <f>#REF!</f>
        <v>#REF!</v>
      </c>
      <c r="E331" s="189" t="e">
        <f t="shared" si="29"/>
        <v>#REF!</v>
      </c>
      <c r="F331" s="179" t="e">
        <f t="shared" si="30"/>
        <v>#REF!</v>
      </c>
      <c r="G331" s="112"/>
      <c r="N331" s="112"/>
    </row>
    <row r="332" spans="1:14" x14ac:dyDescent="0.3">
      <c r="A332" s="182" t="s">
        <v>746</v>
      </c>
      <c r="B332" s="179" t="e">
        <f>#REF!</f>
        <v>#REF!</v>
      </c>
      <c r="C332" s="189" t="e">
        <f t="shared" si="28"/>
        <v>#REF!</v>
      </c>
      <c r="D332" s="179" t="e">
        <f>#REF!</f>
        <v>#REF!</v>
      </c>
      <c r="E332" s="189" t="e">
        <f t="shared" si="29"/>
        <v>#REF!</v>
      </c>
      <c r="F332" s="179" t="e">
        <f t="shared" si="30"/>
        <v>#REF!</v>
      </c>
      <c r="G332" s="112"/>
      <c r="N332" s="112"/>
    </row>
    <row r="333" spans="1:14" x14ac:dyDescent="0.3">
      <c r="A333" s="182" t="s">
        <v>747</v>
      </c>
      <c r="B333" s="179" t="e">
        <f>#REF!</f>
        <v>#REF!</v>
      </c>
      <c r="C333" s="189" t="e">
        <f t="shared" si="28"/>
        <v>#REF!</v>
      </c>
      <c r="D333" s="179" t="e">
        <f>#REF!</f>
        <v>#REF!</v>
      </c>
      <c r="E333" s="189" t="e">
        <f t="shared" si="29"/>
        <v>#REF!</v>
      </c>
      <c r="F333" s="179" t="e">
        <f t="shared" si="30"/>
        <v>#REF!</v>
      </c>
      <c r="G333" s="112"/>
      <c r="N333" s="112"/>
    </row>
    <row r="334" spans="1:14" x14ac:dyDescent="0.3">
      <c r="A334" s="182" t="s">
        <v>748</v>
      </c>
      <c r="B334" s="179" t="e">
        <f>#REF!</f>
        <v>#REF!</v>
      </c>
      <c r="C334" s="189" t="e">
        <f t="shared" si="28"/>
        <v>#REF!</v>
      </c>
      <c r="D334" s="179" t="e">
        <f>#REF!</f>
        <v>#REF!</v>
      </c>
      <c r="E334" s="189" t="e">
        <f t="shared" si="29"/>
        <v>#REF!</v>
      </c>
      <c r="F334" s="179" t="e">
        <f t="shared" si="30"/>
        <v>#REF!</v>
      </c>
      <c r="G334" s="112"/>
      <c r="N334" s="112"/>
    </row>
    <row r="335" spans="1:14" x14ac:dyDescent="0.3">
      <c r="A335" s="182" t="s">
        <v>749</v>
      </c>
      <c r="B335" s="179" t="e">
        <f>#REF!</f>
        <v>#REF!</v>
      </c>
      <c r="C335" s="189" t="e">
        <f t="shared" si="28"/>
        <v>#REF!</v>
      </c>
      <c r="D335" s="179" t="e">
        <f>#REF!</f>
        <v>#REF!</v>
      </c>
      <c r="E335" s="189" t="e">
        <f t="shared" si="29"/>
        <v>#REF!</v>
      </c>
      <c r="F335" s="179" t="e">
        <f t="shared" si="30"/>
        <v>#REF!</v>
      </c>
      <c r="G335" s="112"/>
      <c r="N335" s="112"/>
    </row>
    <row r="336" spans="1:14" x14ac:dyDescent="0.3">
      <c r="A336" s="182" t="s">
        <v>750</v>
      </c>
      <c r="B336" s="179" t="e">
        <f>#REF!</f>
        <v>#REF!</v>
      </c>
      <c r="C336" s="189" t="e">
        <f t="shared" si="28"/>
        <v>#REF!</v>
      </c>
      <c r="D336" s="179" t="e">
        <f>#REF!</f>
        <v>#REF!</v>
      </c>
      <c r="E336" s="189" t="e">
        <f t="shared" si="29"/>
        <v>#REF!</v>
      </c>
      <c r="F336" s="179" t="e">
        <f t="shared" si="30"/>
        <v>#REF!</v>
      </c>
      <c r="G336" s="112"/>
      <c r="N336" s="112"/>
    </row>
    <row r="337" spans="1:14" x14ac:dyDescent="0.3">
      <c r="A337" s="182" t="s">
        <v>751</v>
      </c>
      <c r="B337" s="179" t="e">
        <f>#REF!</f>
        <v>#REF!</v>
      </c>
      <c r="C337" s="189" t="e">
        <f t="shared" si="28"/>
        <v>#REF!</v>
      </c>
      <c r="D337" s="179" t="e">
        <f>#REF!</f>
        <v>#REF!</v>
      </c>
      <c r="E337" s="189" t="e">
        <f t="shared" si="29"/>
        <v>#REF!</v>
      </c>
      <c r="F337" s="179" t="e">
        <f t="shared" si="30"/>
        <v>#REF!</v>
      </c>
      <c r="G337" s="112"/>
      <c r="N337" s="112"/>
    </row>
    <row r="338" spans="1:14" x14ac:dyDescent="0.3">
      <c r="A338" s="182" t="s">
        <v>752</v>
      </c>
      <c r="B338" s="179" t="e">
        <f>#REF!</f>
        <v>#REF!</v>
      </c>
      <c r="C338" s="189" t="e">
        <f t="shared" si="28"/>
        <v>#REF!</v>
      </c>
      <c r="D338" s="179" t="e">
        <f>#REF!</f>
        <v>#REF!</v>
      </c>
      <c r="E338" s="189" t="e">
        <f t="shared" si="29"/>
        <v>#REF!</v>
      </c>
      <c r="F338" s="179" t="e">
        <f t="shared" si="30"/>
        <v>#REF!</v>
      </c>
      <c r="G338" s="112"/>
      <c r="N338" s="112"/>
    </row>
    <row r="339" spans="1:14" x14ac:dyDescent="0.3">
      <c r="A339" s="182" t="s">
        <v>753</v>
      </c>
      <c r="B339" s="179" t="e">
        <f>#REF!</f>
        <v>#REF!</v>
      </c>
      <c r="C339" s="189" t="e">
        <f t="shared" si="28"/>
        <v>#REF!</v>
      </c>
      <c r="D339" s="179" t="e">
        <f>#REF!</f>
        <v>#REF!</v>
      </c>
      <c r="E339" s="189" t="e">
        <f t="shared" si="29"/>
        <v>#REF!</v>
      </c>
      <c r="F339" s="179" t="e">
        <f t="shared" si="30"/>
        <v>#REF!</v>
      </c>
      <c r="G339" s="112"/>
      <c r="N339" s="112"/>
    </row>
    <row r="340" spans="1:14" x14ac:dyDescent="0.3">
      <c r="A340" s="182" t="s">
        <v>754</v>
      </c>
      <c r="B340" s="179" t="e">
        <f>#REF!</f>
        <v>#REF!</v>
      </c>
      <c r="C340" s="189" t="e">
        <f t="shared" si="28"/>
        <v>#REF!</v>
      </c>
      <c r="D340" s="179" t="e">
        <f>#REF!</f>
        <v>#REF!</v>
      </c>
      <c r="E340" s="189" t="e">
        <f t="shared" si="29"/>
        <v>#REF!</v>
      </c>
      <c r="F340" s="179" t="e">
        <f t="shared" si="30"/>
        <v>#REF!</v>
      </c>
      <c r="G340" s="112"/>
      <c r="N340" s="112"/>
    </row>
    <row r="341" spans="1:14" x14ac:dyDescent="0.3">
      <c r="A341" s="182" t="s">
        <v>755</v>
      </c>
      <c r="B341" s="179" t="e">
        <f>#REF!</f>
        <v>#REF!</v>
      </c>
      <c r="C341" s="189" t="e">
        <f t="shared" si="28"/>
        <v>#REF!</v>
      </c>
      <c r="D341" s="179" t="e">
        <f>#REF!</f>
        <v>#REF!</v>
      </c>
      <c r="E341" s="189" t="e">
        <f t="shared" si="29"/>
        <v>#REF!</v>
      </c>
      <c r="F341" s="179" t="e">
        <f t="shared" si="30"/>
        <v>#REF!</v>
      </c>
      <c r="G341" s="112"/>
      <c r="N341" s="112"/>
    </row>
    <row r="342" spans="1:14" x14ac:dyDescent="0.3">
      <c r="A342" s="182" t="s">
        <v>756</v>
      </c>
      <c r="B342" s="179" t="e">
        <f>#REF!</f>
        <v>#REF!</v>
      </c>
      <c r="C342" s="189" t="e">
        <f t="shared" si="28"/>
        <v>#REF!</v>
      </c>
      <c r="D342" s="179" t="e">
        <f>#REF!</f>
        <v>#REF!</v>
      </c>
      <c r="E342" s="189" t="e">
        <f t="shared" si="29"/>
        <v>#REF!</v>
      </c>
      <c r="F342" s="179" t="e">
        <f t="shared" si="30"/>
        <v>#REF!</v>
      </c>
      <c r="G342" s="112"/>
      <c r="N342" s="112"/>
    </row>
    <row r="343" spans="1:14" x14ac:dyDescent="0.3">
      <c r="A343" s="182" t="s">
        <v>757</v>
      </c>
      <c r="B343" s="179" t="e">
        <f>#REF!</f>
        <v>#REF!</v>
      </c>
      <c r="C343" s="189" t="e">
        <f t="shared" si="28"/>
        <v>#REF!</v>
      </c>
      <c r="D343" s="179" t="e">
        <f>#REF!</f>
        <v>#REF!</v>
      </c>
      <c r="E343" s="189" t="e">
        <f t="shared" si="29"/>
        <v>#REF!</v>
      </c>
      <c r="F343" s="179" t="e">
        <f t="shared" si="30"/>
        <v>#REF!</v>
      </c>
      <c r="G343" s="112"/>
      <c r="N343" s="112"/>
    </row>
    <row r="344" spans="1:14" x14ac:dyDescent="0.3">
      <c r="A344" s="182" t="s">
        <v>758</v>
      </c>
      <c r="B344" s="179" t="e">
        <f>#REF!</f>
        <v>#REF!</v>
      </c>
      <c r="C344" s="189" t="e">
        <f t="shared" si="28"/>
        <v>#REF!</v>
      </c>
      <c r="D344" s="179" t="e">
        <f>#REF!</f>
        <v>#REF!</v>
      </c>
      <c r="E344" s="189" t="e">
        <f t="shared" si="29"/>
        <v>#REF!</v>
      </c>
      <c r="F344" s="179" t="e">
        <f t="shared" si="30"/>
        <v>#REF!</v>
      </c>
      <c r="G344" s="112"/>
      <c r="N344" s="112"/>
    </row>
    <row r="345" spans="1:14" x14ac:dyDescent="0.3">
      <c r="A345" s="182" t="s">
        <v>759</v>
      </c>
      <c r="B345" s="179" t="e">
        <f>#REF!</f>
        <v>#REF!</v>
      </c>
      <c r="C345" s="189" t="e">
        <f t="shared" si="28"/>
        <v>#REF!</v>
      </c>
      <c r="D345" s="179" t="e">
        <f>#REF!</f>
        <v>#REF!</v>
      </c>
      <c r="E345" s="189" t="e">
        <f t="shared" si="29"/>
        <v>#REF!</v>
      </c>
      <c r="F345" s="179" t="e">
        <f t="shared" si="30"/>
        <v>#REF!</v>
      </c>
      <c r="G345" s="112"/>
      <c r="N345" s="112"/>
    </row>
    <row r="346" spans="1:14" x14ac:dyDescent="0.3">
      <c r="A346" s="183" t="s">
        <v>2</v>
      </c>
      <c r="B346" s="178" t="e">
        <f>#REF!</f>
        <v>#REF!</v>
      </c>
      <c r="C346" s="184"/>
      <c r="D346" s="178" t="e">
        <f>#REF!</f>
        <v>#REF!</v>
      </c>
      <c r="E346" s="178"/>
      <c r="F346" s="181"/>
      <c r="G346" s="112"/>
      <c r="H346" s="112"/>
      <c r="I346" s="112"/>
      <c r="J346" s="112"/>
      <c r="K346" s="112"/>
      <c r="L346" s="112"/>
      <c r="M346" s="112"/>
      <c r="N346" s="112"/>
    </row>
    <row r="349" spans="1:14" x14ac:dyDescent="0.3">
      <c r="A349" s="196" t="s">
        <v>861</v>
      </c>
    </row>
    <row r="350" spans="1:14" x14ac:dyDescent="0.3">
      <c r="A350" s="185" t="s">
        <v>840</v>
      </c>
      <c r="B350" s="292" t="s">
        <v>369</v>
      </c>
      <c r="C350" s="292"/>
      <c r="D350" s="292" t="s">
        <v>370</v>
      </c>
      <c r="E350" s="292"/>
      <c r="F350" s="154" t="s">
        <v>839</v>
      </c>
    </row>
    <row r="351" spans="1:14" x14ac:dyDescent="0.3">
      <c r="A351" s="187" t="s">
        <v>794</v>
      </c>
      <c r="B351" s="201" t="e">
        <f>SUM(B257:B268)</f>
        <v>#REF!</v>
      </c>
      <c r="C351" s="172" t="e">
        <f>SUM(C257:C268)</f>
        <v>#REF!</v>
      </c>
      <c r="D351" s="201" t="e">
        <f>SUM(D257:D268)</f>
        <v>#REF!</v>
      </c>
      <c r="E351" s="172" t="e">
        <f>SUM(E257:E268)</f>
        <v>#REF!</v>
      </c>
    </row>
    <row r="352" spans="1:14" x14ac:dyDescent="0.3">
      <c r="A352" s="187" t="s">
        <v>796</v>
      </c>
      <c r="B352" s="201" t="e">
        <f>B269</f>
        <v>#REF!</v>
      </c>
      <c r="C352" s="172" t="e">
        <f>C269</f>
        <v>#REF!</v>
      </c>
      <c r="D352" s="201" t="e">
        <f>D269</f>
        <v>#REF!</v>
      </c>
      <c r="E352" s="172" t="e">
        <f>E269</f>
        <v>#REF!</v>
      </c>
      <c r="F352" s="112"/>
    </row>
    <row r="353" spans="1:12" x14ac:dyDescent="0.3">
      <c r="A353" s="187" t="s">
        <v>798</v>
      </c>
      <c r="B353" s="201" t="e">
        <f t="shared" ref="B353:E354" si="31">B275</f>
        <v>#REF!</v>
      </c>
      <c r="C353" s="172" t="e">
        <f t="shared" si="31"/>
        <v>#REF!</v>
      </c>
      <c r="D353" s="201" t="e">
        <f t="shared" si="31"/>
        <v>#REF!</v>
      </c>
      <c r="E353" s="172" t="e">
        <f t="shared" si="31"/>
        <v>#REF!</v>
      </c>
      <c r="F353" s="153"/>
    </row>
    <row r="354" spans="1:12" x14ac:dyDescent="0.3">
      <c r="A354" s="187" t="s">
        <v>763</v>
      </c>
      <c r="B354" s="201" t="e">
        <f t="shared" si="31"/>
        <v>#REF!</v>
      </c>
      <c r="C354" s="172" t="e">
        <f t="shared" si="31"/>
        <v>#REF!</v>
      </c>
      <c r="D354" s="201" t="e">
        <f t="shared" si="31"/>
        <v>#REF!</v>
      </c>
      <c r="E354" s="172" t="e">
        <f t="shared" si="31"/>
        <v>#REF!</v>
      </c>
      <c r="F354" s="112"/>
    </row>
    <row r="355" spans="1:12" x14ac:dyDescent="0.3">
      <c r="A355" s="187" t="s">
        <v>764</v>
      </c>
      <c r="B355" s="201" t="e">
        <f t="shared" ref="B355:E359" si="32">B279</f>
        <v>#REF!</v>
      </c>
      <c r="C355" s="172" t="e">
        <f t="shared" si="32"/>
        <v>#REF!</v>
      </c>
      <c r="D355" s="201" t="e">
        <f t="shared" si="32"/>
        <v>#REF!</v>
      </c>
      <c r="E355" s="172" t="e">
        <f t="shared" si="32"/>
        <v>#REF!</v>
      </c>
      <c r="F355" s="112"/>
    </row>
    <row r="356" spans="1:12" x14ac:dyDescent="0.3">
      <c r="A356" s="187" t="s">
        <v>765</v>
      </c>
      <c r="B356" s="201" t="e">
        <f t="shared" si="32"/>
        <v>#REF!</v>
      </c>
      <c r="C356" s="172" t="e">
        <f t="shared" si="32"/>
        <v>#REF!</v>
      </c>
      <c r="D356" s="201" t="e">
        <f t="shared" si="32"/>
        <v>#REF!</v>
      </c>
      <c r="E356" s="172" t="e">
        <f t="shared" si="32"/>
        <v>#REF!</v>
      </c>
      <c r="F356" s="112"/>
    </row>
    <row r="357" spans="1:12" x14ac:dyDescent="0.3">
      <c r="A357" s="187" t="s">
        <v>766</v>
      </c>
      <c r="B357" s="201" t="e">
        <f t="shared" si="32"/>
        <v>#REF!</v>
      </c>
      <c r="C357" s="172" t="e">
        <f t="shared" si="32"/>
        <v>#REF!</v>
      </c>
      <c r="D357" s="201" t="e">
        <f t="shared" si="32"/>
        <v>#REF!</v>
      </c>
      <c r="E357" s="172" t="e">
        <f t="shared" si="32"/>
        <v>#REF!</v>
      </c>
      <c r="F357" s="112"/>
    </row>
    <row r="358" spans="1:12" x14ac:dyDescent="0.3">
      <c r="A358" s="187" t="s">
        <v>767</v>
      </c>
      <c r="B358" s="201" t="e">
        <f t="shared" si="32"/>
        <v>#REF!</v>
      </c>
      <c r="C358" s="172" t="e">
        <f t="shared" si="32"/>
        <v>#REF!</v>
      </c>
      <c r="D358" s="201" t="e">
        <f t="shared" si="32"/>
        <v>#REF!</v>
      </c>
      <c r="E358" s="172" t="e">
        <f t="shared" si="32"/>
        <v>#REF!</v>
      </c>
      <c r="F358" s="112"/>
    </row>
    <row r="359" spans="1:12" x14ac:dyDescent="0.3">
      <c r="A359" s="187" t="s">
        <v>797</v>
      </c>
      <c r="B359" s="201" t="e">
        <f t="shared" si="32"/>
        <v>#REF!</v>
      </c>
      <c r="C359" s="172" t="e">
        <f t="shared" si="32"/>
        <v>#REF!</v>
      </c>
      <c r="D359" s="201" t="e">
        <f t="shared" si="32"/>
        <v>#REF!</v>
      </c>
      <c r="E359" s="172" t="e">
        <f t="shared" si="32"/>
        <v>#REF!</v>
      </c>
      <c r="F359" s="112"/>
      <c r="G359" s="195"/>
      <c r="H359" s="195"/>
      <c r="I359" s="195"/>
      <c r="J359" s="195"/>
      <c r="K359" s="195"/>
      <c r="L359" s="195"/>
    </row>
    <row r="360" spans="1:12" x14ac:dyDescent="0.3">
      <c r="A360" s="187" t="s">
        <v>768</v>
      </c>
      <c r="B360" s="201" t="e">
        <f t="shared" ref="B360:E362" si="33">B285</f>
        <v>#REF!</v>
      </c>
      <c r="C360" s="172" t="e">
        <f t="shared" si="33"/>
        <v>#REF!</v>
      </c>
      <c r="D360" s="201" t="e">
        <f t="shared" si="33"/>
        <v>#REF!</v>
      </c>
      <c r="E360" s="172" t="e">
        <f t="shared" si="33"/>
        <v>#REF!</v>
      </c>
      <c r="F360" s="112"/>
    </row>
    <row r="361" spans="1:12" x14ac:dyDescent="0.3">
      <c r="A361" s="187" t="s">
        <v>769</v>
      </c>
      <c r="B361" s="201" t="e">
        <f t="shared" si="33"/>
        <v>#REF!</v>
      </c>
      <c r="C361" s="172" t="e">
        <f t="shared" si="33"/>
        <v>#REF!</v>
      </c>
      <c r="D361" s="201" t="e">
        <f t="shared" si="33"/>
        <v>#REF!</v>
      </c>
      <c r="E361" s="172" t="e">
        <f t="shared" si="33"/>
        <v>#REF!</v>
      </c>
      <c r="F361" s="112"/>
    </row>
    <row r="362" spans="1:12" x14ac:dyDescent="0.3">
      <c r="A362" s="187" t="s">
        <v>770</v>
      </c>
      <c r="B362" s="201" t="e">
        <f t="shared" si="33"/>
        <v>#REF!</v>
      </c>
      <c r="C362" s="172" t="e">
        <f t="shared" si="33"/>
        <v>#REF!</v>
      </c>
      <c r="D362" s="201" t="e">
        <f t="shared" si="33"/>
        <v>#REF!</v>
      </c>
      <c r="E362" s="172" t="e">
        <f t="shared" si="33"/>
        <v>#REF!</v>
      </c>
      <c r="F362" s="112"/>
    </row>
    <row r="363" spans="1:12" x14ac:dyDescent="0.3">
      <c r="A363" s="187" t="s">
        <v>850</v>
      </c>
      <c r="B363" s="201" t="e">
        <f>B284</f>
        <v>#REF!</v>
      </c>
      <c r="C363" s="172" t="e">
        <f>C284</f>
        <v>#REF!</v>
      </c>
      <c r="D363" s="201" t="e">
        <f>D284</f>
        <v>#REF!</v>
      </c>
      <c r="E363" s="172" t="e">
        <f>E284</f>
        <v>#REF!</v>
      </c>
      <c r="F363" s="112" t="s">
        <v>854</v>
      </c>
    </row>
    <row r="364" spans="1:12" x14ac:dyDescent="0.3">
      <c r="A364" s="187" t="s">
        <v>851</v>
      </c>
      <c r="B364" s="201" t="e">
        <f>B288</f>
        <v>#REF!</v>
      </c>
      <c r="C364" s="172" t="e">
        <f>C284+C288</f>
        <v>#REF!</v>
      </c>
      <c r="D364" s="201" t="e">
        <f>D284+D288</f>
        <v>#REF!</v>
      </c>
      <c r="E364" s="172" t="e">
        <f>E284+E288</f>
        <v>#REF!</v>
      </c>
      <c r="F364" s="112" t="s">
        <v>853</v>
      </c>
    </row>
    <row r="365" spans="1:12" x14ac:dyDescent="0.3">
      <c r="A365" s="187" t="s">
        <v>771</v>
      </c>
      <c r="B365" s="201" t="e">
        <f>B290</f>
        <v>#REF!</v>
      </c>
      <c r="C365" s="172" t="e">
        <f>C290</f>
        <v>#REF!</v>
      </c>
      <c r="D365" s="201" t="e">
        <f>D290</f>
        <v>#REF!</v>
      </c>
      <c r="E365" s="172" t="e">
        <f>E290</f>
        <v>#REF!</v>
      </c>
      <c r="F365" s="173"/>
    </row>
    <row r="366" spans="1:12" x14ac:dyDescent="0.3">
      <c r="A366" s="187" t="s">
        <v>855</v>
      </c>
      <c r="B366" s="201" t="e">
        <f>B291+B271+B272+B273+B274</f>
        <v>#REF!</v>
      </c>
      <c r="C366" s="172" t="e">
        <f>C291+C271+C272+C273+C274</f>
        <v>#REF!</v>
      </c>
      <c r="D366" s="201" t="e">
        <f>D291+D271+D272+D273+D274</f>
        <v>#REF!</v>
      </c>
      <c r="E366" s="172" t="e">
        <f>E291+E271+E272+E273+E274</f>
        <v>#REF!</v>
      </c>
      <c r="F366" s="187" t="s">
        <v>856</v>
      </c>
    </row>
    <row r="367" spans="1:12" x14ac:dyDescent="0.3">
      <c r="A367" s="187" t="s">
        <v>772</v>
      </c>
      <c r="B367" s="201" t="e">
        <f t="shared" ref="B367:E369" si="34">B295</f>
        <v>#REF!</v>
      </c>
      <c r="C367" s="172" t="e">
        <f t="shared" si="34"/>
        <v>#REF!</v>
      </c>
      <c r="D367" s="201" t="e">
        <f t="shared" si="34"/>
        <v>#REF!</v>
      </c>
      <c r="E367" s="172" t="e">
        <f t="shared" si="34"/>
        <v>#REF!</v>
      </c>
      <c r="F367" s="112"/>
    </row>
    <row r="368" spans="1:12" x14ac:dyDescent="0.3">
      <c r="A368" s="187" t="s">
        <v>773</v>
      </c>
      <c r="B368" s="201" t="e">
        <f t="shared" si="34"/>
        <v>#REF!</v>
      </c>
      <c r="C368" s="172" t="e">
        <f t="shared" si="34"/>
        <v>#REF!</v>
      </c>
      <c r="D368" s="201" t="e">
        <f t="shared" si="34"/>
        <v>#REF!</v>
      </c>
      <c r="E368" s="172" t="e">
        <f t="shared" si="34"/>
        <v>#REF!</v>
      </c>
      <c r="F368" s="112"/>
    </row>
    <row r="369" spans="1:6" x14ac:dyDescent="0.3">
      <c r="A369" s="187" t="s">
        <v>801</v>
      </c>
      <c r="B369" s="201" t="e">
        <f t="shared" si="34"/>
        <v>#REF!</v>
      </c>
      <c r="C369" s="172" t="e">
        <f t="shared" si="34"/>
        <v>#REF!</v>
      </c>
      <c r="D369" s="201" t="e">
        <f t="shared" si="34"/>
        <v>#REF!</v>
      </c>
      <c r="E369" s="172" t="e">
        <f t="shared" si="34"/>
        <v>#REF!</v>
      </c>
      <c r="F369" s="187" t="s">
        <v>844</v>
      </c>
    </row>
    <row r="370" spans="1:6" x14ac:dyDescent="0.3">
      <c r="A370" s="187" t="s">
        <v>774</v>
      </c>
      <c r="B370" s="201" t="e">
        <f t="shared" ref="B370:E374" si="35">B299</f>
        <v>#REF!</v>
      </c>
      <c r="C370" s="172" t="e">
        <f t="shared" si="35"/>
        <v>#REF!</v>
      </c>
      <c r="D370" s="201" t="e">
        <f t="shared" si="35"/>
        <v>#REF!</v>
      </c>
      <c r="E370" s="172" t="e">
        <f t="shared" si="35"/>
        <v>#REF!</v>
      </c>
      <c r="F370" s="112"/>
    </row>
    <row r="371" spans="1:6" x14ac:dyDescent="0.3">
      <c r="A371" s="187" t="s">
        <v>775</v>
      </c>
      <c r="B371" s="201" t="e">
        <f t="shared" si="35"/>
        <v>#REF!</v>
      </c>
      <c r="C371" s="172" t="e">
        <f t="shared" si="35"/>
        <v>#REF!</v>
      </c>
      <c r="D371" s="201" t="e">
        <f t="shared" si="35"/>
        <v>#REF!</v>
      </c>
      <c r="E371" s="172" t="e">
        <f t="shared" si="35"/>
        <v>#REF!</v>
      </c>
      <c r="F371" s="112"/>
    </row>
    <row r="372" spans="1:6" x14ac:dyDescent="0.3">
      <c r="A372" s="187" t="s">
        <v>776</v>
      </c>
      <c r="B372" s="201" t="e">
        <f t="shared" si="35"/>
        <v>#REF!</v>
      </c>
      <c r="C372" s="172" t="e">
        <f t="shared" si="35"/>
        <v>#REF!</v>
      </c>
      <c r="D372" s="201" t="e">
        <f t="shared" si="35"/>
        <v>#REF!</v>
      </c>
      <c r="E372" s="172" t="e">
        <f t="shared" si="35"/>
        <v>#REF!</v>
      </c>
      <c r="F372" s="112"/>
    </row>
    <row r="373" spans="1:6" x14ac:dyDescent="0.3">
      <c r="A373" s="187" t="s">
        <v>777</v>
      </c>
      <c r="B373" s="201" t="e">
        <f t="shared" si="35"/>
        <v>#REF!</v>
      </c>
      <c r="C373" s="172" t="e">
        <f t="shared" si="35"/>
        <v>#REF!</v>
      </c>
      <c r="D373" s="201" t="e">
        <f t="shared" si="35"/>
        <v>#REF!</v>
      </c>
      <c r="E373" s="172" t="e">
        <f t="shared" si="35"/>
        <v>#REF!</v>
      </c>
      <c r="F373" s="112"/>
    </row>
    <row r="374" spans="1:6" x14ac:dyDescent="0.3">
      <c r="A374" s="187" t="s">
        <v>800</v>
      </c>
      <c r="B374" s="201" t="e">
        <f t="shared" si="35"/>
        <v>#REF!</v>
      </c>
      <c r="C374" s="172" t="e">
        <f t="shared" si="35"/>
        <v>#REF!</v>
      </c>
      <c r="D374" s="201" t="e">
        <f t="shared" si="35"/>
        <v>#REF!</v>
      </c>
      <c r="E374" s="172" t="e">
        <f t="shared" si="35"/>
        <v>#REF!</v>
      </c>
      <c r="F374" s="187" t="s">
        <v>845</v>
      </c>
    </row>
    <row r="375" spans="1:6" x14ac:dyDescent="0.3">
      <c r="A375" s="187" t="s">
        <v>778</v>
      </c>
      <c r="B375" s="201" t="e">
        <f t="shared" ref="B375:E378" si="36">B306</f>
        <v>#REF!</v>
      </c>
      <c r="C375" s="172" t="e">
        <f t="shared" si="36"/>
        <v>#REF!</v>
      </c>
      <c r="D375" s="201" t="e">
        <f t="shared" si="36"/>
        <v>#REF!</v>
      </c>
      <c r="E375" s="172" t="e">
        <f t="shared" si="36"/>
        <v>#REF!</v>
      </c>
      <c r="F375" s="112"/>
    </row>
    <row r="376" spans="1:6" x14ac:dyDescent="0.3">
      <c r="A376" s="187" t="s">
        <v>779</v>
      </c>
      <c r="B376" s="201" t="e">
        <f t="shared" si="36"/>
        <v>#REF!</v>
      </c>
      <c r="C376" s="172" t="e">
        <f t="shared" si="36"/>
        <v>#REF!</v>
      </c>
      <c r="D376" s="201" t="e">
        <f t="shared" si="36"/>
        <v>#REF!</v>
      </c>
      <c r="E376" s="172" t="e">
        <f t="shared" si="36"/>
        <v>#REF!</v>
      </c>
      <c r="F376" s="112"/>
    </row>
    <row r="377" spans="1:6" x14ac:dyDescent="0.3">
      <c r="A377" s="187" t="s">
        <v>780</v>
      </c>
      <c r="B377" s="201" t="e">
        <f t="shared" si="36"/>
        <v>#REF!</v>
      </c>
      <c r="C377" s="172" t="e">
        <f t="shared" si="36"/>
        <v>#REF!</v>
      </c>
      <c r="D377" s="201" t="e">
        <f t="shared" si="36"/>
        <v>#REF!</v>
      </c>
      <c r="E377" s="172" t="e">
        <f t="shared" si="36"/>
        <v>#REF!</v>
      </c>
      <c r="F377" s="112"/>
    </row>
    <row r="378" spans="1:6" x14ac:dyDescent="0.3">
      <c r="A378" s="187" t="s">
        <v>799</v>
      </c>
      <c r="B378" s="201" t="e">
        <f t="shared" si="36"/>
        <v>#REF!</v>
      </c>
      <c r="C378" s="172" t="e">
        <f t="shared" si="36"/>
        <v>#REF!</v>
      </c>
      <c r="D378" s="201" t="e">
        <f t="shared" si="36"/>
        <v>#REF!</v>
      </c>
      <c r="E378" s="172" t="e">
        <f t="shared" si="36"/>
        <v>#REF!</v>
      </c>
      <c r="F378" s="187" t="s">
        <v>846</v>
      </c>
    </row>
    <row r="379" spans="1:6" x14ac:dyDescent="0.3">
      <c r="A379" s="187" t="s">
        <v>653</v>
      </c>
      <c r="B379" s="201" t="e">
        <f t="shared" ref="B379:E382" si="37">B311</f>
        <v>#REF!</v>
      </c>
      <c r="C379" s="172" t="e">
        <f t="shared" si="37"/>
        <v>#REF!</v>
      </c>
      <c r="D379" s="201" t="e">
        <f t="shared" si="37"/>
        <v>#REF!</v>
      </c>
      <c r="E379" s="172" t="e">
        <f t="shared" si="37"/>
        <v>#REF!</v>
      </c>
      <c r="F379" s="112"/>
    </row>
    <row r="380" spans="1:6" x14ac:dyDescent="0.3">
      <c r="A380" s="187" t="s">
        <v>781</v>
      </c>
      <c r="B380" s="201" t="e">
        <f t="shared" si="37"/>
        <v>#REF!</v>
      </c>
      <c r="C380" s="172" t="e">
        <f t="shared" si="37"/>
        <v>#REF!</v>
      </c>
      <c r="D380" s="201" t="e">
        <f t="shared" si="37"/>
        <v>#REF!</v>
      </c>
      <c r="E380" s="172" t="e">
        <f t="shared" si="37"/>
        <v>#REF!</v>
      </c>
      <c r="F380" s="112"/>
    </row>
    <row r="381" spans="1:6" x14ac:dyDescent="0.3">
      <c r="A381" s="187" t="s">
        <v>782</v>
      </c>
      <c r="B381" s="201" t="e">
        <f t="shared" si="37"/>
        <v>#REF!</v>
      </c>
      <c r="C381" s="172" t="e">
        <f t="shared" si="37"/>
        <v>#REF!</v>
      </c>
      <c r="D381" s="201" t="e">
        <f t="shared" si="37"/>
        <v>#REF!</v>
      </c>
      <c r="E381" s="172" t="e">
        <f t="shared" si="37"/>
        <v>#REF!</v>
      </c>
      <c r="F381" s="112"/>
    </row>
    <row r="382" spans="1:6" x14ac:dyDescent="0.3">
      <c r="A382" s="187" t="s">
        <v>802</v>
      </c>
      <c r="B382" s="201" t="e">
        <f t="shared" si="37"/>
        <v>#REF!</v>
      </c>
      <c r="C382" s="172" t="e">
        <f t="shared" si="37"/>
        <v>#REF!</v>
      </c>
      <c r="D382" s="201" t="e">
        <f t="shared" si="37"/>
        <v>#REF!</v>
      </c>
      <c r="E382" s="172" t="e">
        <f t="shared" si="37"/>
        <v>#REF!</v>
      </c>
      <c r="F382" s="187" t="s">
        <v>847</v>
      </c>
    </row>
    <row r="383" spans="1:6" x14ac:dyDescent="0.3">
      <c r="A383" s="187" t="s">
        <v>783</v>
      </c>
      <c r="B383" s="201" t="e">
        <f t="shared" ref="B383:E388" si="38">B316</f>
        <v>#REF!</v>
      </c>
      <c r="C383" s="172" t="e">
        <f t="shared" si="38"/>
        <v>#REF!</v>
      </c>
      <c r="D383" s="201" t="e">
        <f t="shared" si="38"/>
        <v>#REF!</v>
      </c>
      <c r="E383" s="172" t="e">
        <f t="shared" si="38"/>
        <v>#REF!</v>
      </c>
      <c r="F383" s="112"/>
    </row>
    <row r="384" spans="1:6" x14ac:dyDescent="0.3">
      <c r="A384" s="187" t="s">
        <v>652</v>
      </c>
      <c r="B384" s="201" t="e">
        <f t="shared" si="38"/>
        <v>#REF!</v>
      </c>
      <c r="C384" s="172" t="e">
        <f t="shared" si="38"/>
        <v>#REF!</v>
      </c>
      <c r="D384" s="201" t="e">
        <f t="shared" si="38"/>
        <v>#REF!</v>
      </c>
      <c r="E384" s="172" t="e">
        <f t="shared" si="38"/>
        <v>#REF!</v>
      </c>
      <c r="F384" s="112"/>
    </row>
    <row r="385" spans="1:6" x14ac:dyDescent="0.3">
      <c r="A385" s="187" t="s">
        <v>654</v>
      </c>
      <c r="B385" s="201" t="e">
        <f t="shared" si="38"/>
        <v>#REF!</v>
      </c>
      <c r="C385" s="172" t="e">
        <f t="shared" si="38"/>
        <v>#REF!</v>
      </c>
      <c r="D385" s="201" t="e">
        <f t="shared" si="38"/>
        <v>#REF!</v>
      </c>
      <c r="E385" s="172" t="e">
        <f t="shared" si="38"/>
        <v>#REF!</v>
      </c>
      <c r="F385" s="112"/>
    </row>
    <row r="386" spans="1:6" x14ac:dyDescent="0.3">
      <c r="A386" s="187" t="s">
        <v>655</v>
      </c>
      <c r="B386" s="201" t="e">
        <f t="shared" si="38"/>
        <v>#REF!</v>
      </c>
      <c r="C386" s="172" t="e">
        <f t="shared" si="38"/>
        <v>#REF!</v>
      </c>
      <c r="D386" s="201" t="e">
        <f t="shared" si="38"/>
        <v>#REF!</v>
      </c>
      <c r="E386" s="172" t="e">
        <f t="shared" si="38"/>
        <v>#REF!</v>
      </c>
      <c r="F386" s="112"/>
    </row>
    <row r="387" spans="1:6" x14ac:dyDescent="0.3">
      <c r="A387" s="187" t="s">
        <v>784</v>
      </c>
      <c r="B387" s="201" t="e">
        <f t="shared" si="38"/>
        <v>#REF!</v>
      </c>
      <c r="C387" s="172" t="e">
        <f t="shared" si="38"/>
        <v>#REF!</v>
      </c>
      <c r="D387" s="201" t="e">
        <f t="shared" si="38"/>
        <v>#REF!</v>
      </c>
      <c r="E387" s="172" t="e">
        <f t="shared" si="38"/>
        <v>#REF!</v>
      </c>
      <c r="F387" s="112"/>
    </row>
    <row r="388" spans="1:6" x14ac:dyDescent="0.3">
      <c r="A388" s="187" t="s">
        <v>803</v>
      </c>
      <c r="B388" s="201" t="e">
        <f t="shared" si="38"/>
        <v>#REF!</v>
      </c>
      <c r="C388" s="172" t="e">
        <f t="shared" si="38"/>
        <v>#REF!</v>
      </c>
      <c r="D388" s="201" t="e">
        <f t="shared" si="38"/>
        <v>#REF!</v>
      </c>
      <c r="E388" s="172" t="e">
        <f t="shared" si="38"/>
        <v>#REF!</v>
      </c>
      <c r="F388" s="187" t="s">
        <v>848</v>
      </c>
    </row>
    <row r="389" spans="1:6" x14ac:dyDescent="0.3">
      <c r="A389" s="187" t="s">
        <v>785</v>
      </c>
      <c r="B389" s="201" t="e">
        <f t="shared" ref="B389:E394" si="39">B323</f>
        <v>#REF!</v>
      </c>
      <c r="C389" s="172" t="e">
        <f t="shared" si="39"/>
        <v>#REF!</v>
      </c>
      <c r="D389" s="201" t="e">
        <f t="shared" si="39"/>
        <v>#REF!</v>
      </c>
      <c r="E389" s="172" t="e">
        <f t="shared" si="39"/>
        <v>#REF!</v>
      </c>
      <c r="F389" s="112"/>
    </row>
    <row r="390" spans="1:6" x14ac:dyDescent="0.3">
      <c r="A390" s="187" t="s">
        <v>786</v>
      </c>
      <c r="B390" s="201" t="e">
        <f t="shared" si="39"/>
        <v>#REF!</v>
      </c>
      <c r="C390" s="172" t="e">
        <f t="shared" si="39"/>
        <v>#REF!</v>
      </c>
      <c r="D390" s="201" t="e">
        <f t="shared" si="39"/>
        <v>#REF!</v>
      </c>
      <c r="E390" s="172" t="e">
        <f t="shared" si="39"/>
        <v>#REF!</v>
      </c>
      <c r="F390" s="112"/>
    </row>
    <row r="391" spans="1:6" x14ac:dyDescent="0.3">
      <c r="A391" s="187" t="s">
        <v>787</v>
      </c>
      <c r="B391" s="201" t="e">
        <f t="shared" si="39"/>
        <v>#REF!</v>
      </c>
      <c r="C391" s="172" t="e">
        <f t="shared" si="39"/>
        <v>#REF!</v>
      </c>
      <c r="D391" s="201" t="e">
        <f t="shared" si="39"/>
        <v>#REF!</v>
      </c>
      <c r="E391" s="172" t="e">
        <f t="shared" si="39"/>
        <v>#REF!</v>
      </c>
      <c r="F391" s="112"/>
    </row>
    <row r="392" spans="1:6" x14ac:dyDescent="0.3">
      <c r="A392" s="187" t="s">
        <v>804</v>
      </c>
      <c r="B392" s="201" t="e">
        <f t="shared" si="39"/>
        <v>#REF!</v>
      </c>
      <c r="C392" s="172" t="e">
        <f t="shared" si="39"/>
        <v>#REF!</v>
      </c>
      <c r="D392" s="201" t="e">
        <f t="shared" si="39"/>
        <v>#REF!</v>
      </c>
      <c r="E392" s="172" t="e">
        <f t="shared" si="39"/>
        <v>#REF!</v>
      </c>
      <c r="F392" s="187" t="s">
        <v>849</v>
      </c>
    </row>
    <row r="393" spans="1:6" x14ac:dyDescent="0.3">
      <c r="A393" s="187" t="s">
        <v>805</v>
      </c>
      <c r="B393" s="201" t="e">
        <f t="shared" si="39"/>
        <v>#REF!</v>
      </c>
      <c r="C393" s="172" t="e">
        <f t="shared" si="39"/>
        <v>#REF!</v>
      </c>
      <c r="D393" s="201" t="e">
        <f t="shared" si="39"/>
        <v>#REF!</v>
      </c>
      <c r="E393" s="172" t="e">
        <f t="shared" si="39"/>
        <v>#REF!</v>
      </c>
      <c r="F393" s="112"/>
    </row>
    <row r="394" spans="1:6" x14ac:dyDescent="0.3">
      <c r="A394" s="187" t="s">
        <v>806</v>
      </c>
      <c r="B394" s="201" t="e">
        <f t="shared" si="39"/>
        <v>#REF!</v>
      </c>
      <c r="C394" s="172" t="e">
        <f t="shared" si="39"/>
        <v>#REF!</v>
      </c>
      <c r="D394" s="201" t="e">
        <f t="shared" si="39"/>
        <v>#REF!</v>
      </c>
      <c r="E394" s="172" t="e">
        <f t="shared" si="39"/>
        <v>#REF!</v>
      </c>
      <c r="F394" s="112"/>
    </row>
    <row r="395" spans="1:6" x14ac:dyDescent="0.3">
      <c r="A395" s="187" t="s">
        <v>788</v>
      </c>
      <c r="B395" s="201" t="e">
        <f t="shared" ref="B395:E399" si="40">B331</f>
        <v>#REF!</v>
      </c>
      <c r="C395" s="172" t="e">
        <f t="shared" si="40"/>
        <v>#REF!</v>
      </c>
      <c r="D395" s="201" t="e">
        <f t="shared" si="40"/>
        <v>#REF!</v>
      </c>
      <c r="E395" s="172" t="e">
        <f t="shared" si="40"/>
        <v>#REF!</v>
      </c>
      <c r="F395" s="112"/>
    </row>
    <row r="396" spans="1:6" x14ac:dyDescent="0.3">
      <c r="A396" s="187" t="s">
        <v>789</v>
      </c>
      <c r="B396" s="201" t="e">
        <f t="shared" si="40"/>
        <v>#REF!</v>
      </c>
      <c r="C396" s="172" t="e">
        <f t="shared" si="40"/>
        <v>#REF!</v>
      </c>
      <c r="D396" s="201" t="e">
        <f t="shared" si="40"/>
        <v>#REF!</v>
      </c>
      <c r="E396" s="172" t="e">
        <f t="shared" si="40"/>
        <v>#REF!</v>
      </c>
      <c r="F396" s="112"/>
    </row>
    <row r="397" spans="1:6" x14ac:dyDescent="0.3">
      <c r="A397" s="187" t="s">
        <v>807</v>
      </c>
      <c r="B397" s="201" t="e">
        <f t="shared" si="40"/>
        <v>#REF!</v>
      </c>
      <c r="C397" s="172" t="e">
        <f t="shared" si="40"/>
        <v>#REF!</v>
      </c>
      <c r="D397" s="201" t="e">
        <f t="shared" si="40"/>
        <v>#REF!</v>
      </c>
      <c r="E397" s="172" t="e">
        <f t="shared" si="40"/>
        <v>#REF!</v>
      </c>
      <c r="F397" s="187" t="s">
        <v>843</v>
      </c>
    </row>
    <row r="398" spans="1:6" x14ac:dyDescent="0.3">
      <c r="A398" s="187" t="s">
        <v>808</v>
      </c>
      <c r="B398" s="201" t="e">
        <f t="shared" si="40"/>
        <v>#REF!</v>
      </c>
      <c r="C398" s="172" t="e">
        <f t="shared" si="40"/>
        <v>#REF!</v>
      </c>
      <c r="D398" s="201" t="e">
        <f t="shared" si="40"/>
        <v>#REF!</v>
      </c>
      <c r="E398" s="172" t="e">
        <f t="shared" si="40"/>
        <v>#REF!</v>
      </c>
      <c r="F398" s="112"/>
    </row>
    <row r="399" spans="1:6" x14ac:dyDescent="0.3">
      <c r="A399" s="187" t="s">
        <v>809</v>
      </c>
      <c r="B399" s="201" t="e">
        <f t="shared" si="40"/>
        <v>#REF!</v>
      </c>
      <c r="C399" s="172" t="e">
        <f t="shared" si="40"/>
        <v>#REF!</v>
      </c>
      <c r="D399" s="201" t="e">
        <f t="shared" si="40"/>
        <v>#REF!</v>
      </c>
      <c r="E399" s="172" t="e">
        <f t="shared" si="40"/>
        <v>#REF!</v>
      </c>
      <c r="F399" s="112"/>
    </row>
    <row r="400" spans="1:6" x14ac:dyDescent="0.3">
      <c r="A400" s="187" t="s">
        <v>790</v>
      </c>
      <c r="B400" s="201" t="e">
        <f t="shared" ref="B400:E401" si="41">B337</f>
        <v>#REF!</v>
      </c>
      <c r="C400" s="172" t="e">
        <f t="shared" si="41"/>
        <v>#REF!</v>
      </c>
      <c r="D400" s="201" t="e">
        <f t="shared" si="41"/>
        <v>#REF!</v>
      </c>
      <c r="E400" s="172" t="e">
        <f t="shared" si="41"/>
        <v>#REF!</v>
      </c>
      <c r="F400" s="112"/>
    </row>
    <row r="401" spans="1:6" x14ac:dyDescent="0.3">
      <c r="A401" s="187" t="s">
        <v>810</v>
      </c>
      <c r="B401" s="201" t="e">
        <f t="shared" si="41"/>
        <v>#REF!</v>
      </c>
      <c r="C401" s="172" t="e">
        <f t="shared" si="41"/>
        <v>#REF!</v>
      </c>
      <c r="D401" s="201" t="e">
        <f t="shared" si="41"/>
        <v>#REF!</v>
      </c>
      <c r="E401" s="172" t="e">
        <f t="shared" si="41"/>
        <v>#REF!</v>
      </c>
      <c r="F401" s="187" t="s">
        <v>842</v>
      </c>
    </row>
    <row r="402" spans="1:6" x14ac:dyDescent="0.3">
      <c r="A402" s="187" t="s">
        <v>791</v>
      </c>
      <c r="B402" s="201" t="e">
        <f t="shared" ref="B402:E406" si="42">B341</f>
        <v>#REF!</v>
      </c>
      <c r="C402" s="172" t="e">
        <f t="shared" si="42"/>
        <v>#REF!</v>
      </c>
      <c r="D402" s="201" t="e">
        <f t="shared" si="42"/>
        <v>#REF!</v>
      </c>
      <c r="E402" s="172" t="e">
        <f t="shared" si="42"/>
        <v>#REF!</v>
      </c>
      <c r="F402" s="112"/>
    </row>
    <row r="403" spans="1:6" x14ac:dyDescent="0.3">
      <c r="A403" s="187" t="s">
        <v>792</v>
      </c>
      <c r="B403" s="201" t="e">
        <f t="shared" si="42"/>
        <v>#REF!</v>
      </c>
      <c r="C403" s="172" t="e">
        <f t="shared" si="42"/>
        <v>#REF!</v>
      </c>
      <c r="D403" s="201" t="e">
        <f t="shared" si="42"/>
        <v>#REF!</v>
      </c>
      <c r="E403" s="172" t="e">
        <f t="shared" si="42"/>
        <v>#REF!</v>
      </c>
      <c r="F403" s="112"/>
    </row>
    <row r="404" spans="1:6" x14ac:dyDescent="0.3">
      <c r="A404" s="187" t="s">
        <v>811</v>
      </c>
      <c r="B404" s="201" t="e">
        <f t="shared" si="42"/>
        <v>#REF!</v>
      </c>
      <c r="C404" s="172" t="e">
        <f t="shared" si="42"/>
        <v>#REF!</v>
      </c>
      <c r="D404" s="201" t="e">
        <f t="shared" si="42"/>
        <v>#REF!</v>
      </c>
      <c r="E404" s="172" t="e">
        <f t="shared" si="42"/>
        <v>#REF!</v>
      </c>
      <c r="F404" s="187" t="s">
        <v>841</v>
      </c>
    </row>
    <row r="405" spans="1:6" x14ac:dyDescent="0.3">
      <c r="A405" s="187" t="s">
        <v>812</v>
      </c>
      <c r="B405" s="201" t="e">
        <f t="shared" si="42"/>
        <v>#REF!</v>
      </c>
      <c r="C405" s="172" t="e">
        <f t="shared" si="42"/>
        <v>#REF!</v>
      </c>
      <c r="D405" s="201" t="e">
        <f t="shared" si="42"/>
        <v>#REF!</v>
      </c>
      <c r="E405" s="172" t="e">
        <f t="shared" si="42"/>
        <v>#REF!</v>
      </c>
      <c r="F405" s="112"/>
    </row>
    <row r="406" spans="1:6" x14ac:dyDescent="0.3">
      <c r="A406" s="187" t="s">
        <v>793</v>
      </c>
      <c r="B406" s="201" t="e">
        <f t="shared" si="42"/>
        <v>#REF!</v>
      </c>
      <c r="C406" s="172" t="e">
        <f t="shared" si="42"/>
        <v>#REF!</v>
      </c>
      <c r="D406" s="201" t="e">
        <f t="shared" si="42"/>
        <v>#REF!</v>
      </c>
      <c r="E406" s="172" t="e">
        <f t="shared" si="42"/>
        <v>#REF!</v>
      </c>
      <c r="F406" s="112"/>
    </row>
    <row r="407" spans="1:6" x14ac:dyDescent="0.3">
      <c r="A407" s="112"/>
      <c r="B407" s="112"/>
      <c r="C407" s="112"/>
    </row>
    <row r="408" spans="1:6" x14ac:dyDescent="0.3">
      <c r="A408" s="185" t="s">
        <v>837</v>
      </c>
      <c r="B408" s="154" t="s">
        <v>838</v>
      </c>
      <c r="C408" s="112"/>
    </row>
    <row r="409" spans="1:6" x14ac:dyDescent="0.3">
      <c r="A409" s="178" t="e">
        <f>INDEX(Calculations!$A$351:$A$406,MATCH(LARGE(Calculations!$C$351:$C$406,1),Calculations!$C$351:$C$406,0))</f>
        <v>#REF!</v>
      </c>
      <c r="B409" s="112" t="e">
        <f>IF(VLOOKUP(A409,$A$351:$F$406,6,FALSE)=0,"",VLOOKUP(A409,$A$351:$F$406,6,FALSE))</f>
        <v>#REF!</v>
      </c>
      <c r="C409" s="112"/>
    </row>
    <row r="410" spans="1:6" x14ac:dyDescent="0.3">
      <c r="A410" s="178" t="e">
        <f>INDEX(Calculations!$A$351:$A$406,MATCH(LARGE(Calculations!$C$351:$C$406,2),Calculations!$C$351:$C$406,0))</f>
        <v>#REF!</v>
      </c>
      <c r="B410" s="112" t="e">
        <f t="shared" ref="B410:B428" si="43">IF(VLOOKUP(A410,$A$351:$F$406,6,FALSE)=0,"",VLOOKUP(A410,$A$351:$F$406,6,FALSE))</f>
        <v>#REF!</v>
      </c>
      <c r="C410" s="112"/>
    </row>
    <row r="411" spans="1:6" x14ac:dyDescent="0.3">
      <c r="A411" s="178" t="e">
        <f>INDEX(Calculations!$A$351:$A$406,MATCH(LARGE(Calculations!$C$351:$C$406,3),Calculations!$C$351:$C$406,0))</f>
        <v>#REF!</v>
      </c>
      <c r="B411" s="112" t="e">
        <f t="shared" si="43"/>
        <v>#REF!</v>
      </c>
      <c r="C411" s="112"/>
    </row>
    <row r="412" spans="1:6" x14ac:dyDescent="0.3">
      <c r="A412" s="178" t="e">
        <f>INDEX(Calculations!$A$351:$A$406,MATCH(LARGE(Calculations!$C$351:$C$406,4),Calculations!$C$351:$C$406,0))</f>
        <v>#REF!</v>
      </c>
      <c r="B412" s="112" t="e">
        <f t="shared" si="43"/>
        <v>#REF!</v>
      </c>
      <c r="C412" s="112"/>
    </row>
    <row r="413" spans="1:6" x14ac:dyDescent="0.3">
      <c r="A413" s="178" t="e">
        <f>INDEX(Calculations!$A$351:$A$406,MATCH(LARGE(Calculations!$C$351:$C$406,5),Calculations!$C$351:$C$406,0))</f>
        <v>#REF!</v>
      </c>
      <c r="B413" s="112" t="e">
        <f t="shared" si="43"/>
        <v>#REF!</v>
      </c>
      <c r="C413" s="112"/>
    </row>
    <row r="414" spans="1:6" x14ac:dyDescent="0.3">
      <c r="A414" s="178" t="e">
        <f>INDEX(Calculations!$A$351:$A$406,MATCH(LARGE(Calculations!$C$351:$C$406,6),Calculations!$C$351:$C$406,0))</f>
        <v>#REF!</v>
      </c>
      <c r="B414" s="112" t="e">
        <f t="shared" si="43"/>
        <v>#REF!</v>
      </c>
      <c r="C414" s="112"/>
    </row>
    <row r="415" spans="1:6" x14ac:dyDescent="0.3">
      <c r="A415" s="178" t="e">
        <f>INDEX(Calculations!$A$351:$A$406,MATCH(LARGE(Calculations!$C$351:$C$406,7),Calculations!$C$351:$C$406,0))</f>
        <v>#REF!</v>
      </c>
      <c r="B415" s="112" t="e">
        <f t="shared" si="43"/>
        <v>#REF!</v>
      </c>
      <c r="C415" s="112"/>
    </row>
    <row r="416" spans="1:6" x14ac:dyDescent="0.3">
      <c r="A416" s="178" t="e">
        <f>INDEX(Calculations!$A$351:$A$406,MATCH(LARGE(Calculations!$C$351:$C$406,8),Calculations!$C$351:$C$406,0))</f>
        <v>#REF!</v>
      </c>
      <c r="B416" s="112" t="e">
        <f t="shared" si="43"/>
        <v>#REF!</v>
      </c>
      <c r="C416" s="112"/>
    </row>
    <row r="417" spans="1:3" x14ac:dyDescent="0.3">
      <c r="A417" s="178" t="e">
        <f>INDEX(Calculations!$A$351:$A$406,MATCH(LARGE(Calculations!$C$351:$C$406,9),Calculations!$C$351:$C$406,0))</f>
        <v>#REF!</v>
      </c>
      <c r="B417" s="112" t="e">
        <f t="shared" si="43"/>
        <v>#REF!</v>
      </c>
      <c r="C417" s="112"/>
    </row>
    <row r="418" spans="1:3" x14ac:dyDescent="0.3">
      <c r="A418" s="178" t="e">
        <f>INDEX(Calculations!$A$351:$A$406,MATCH(LARGE(Calculations!$C$351:$C$406,10),Calculations!$C$351:$C$406,0))</f>
        <v>#REF!</v>
      </c>
      <c r="B418" s="112" t="e">
        <f t="shared" si="43"/>
        <v>#REF!</v>
      </c>
      <c r="C418" s="112"/>
    </row>
    <row r="419" spans="1:3" x14ac:dyDescent="0.3">
      <c r="A419" s="178" t="e">
        <f>INDEX(Calculations!$A$351:$A$406,MATCH(LARGE(Calculations!$C$351:$C$406,11),Calculations!$C$351:$C$406,0))</f>
        <v>#REF!</v>
      </c>
      <c r="B419" s="112" t="e">
        <f t="shared" si="43"/>
        <v>#REF!</v>
      </c>
      <c r="C419" s="112"/>
    </row>
    <row r="420" spans="1:3" x14ac:dyDescent="0.3">
      <c r="A420" s="178" t="e">
        <f>INDEX(Calculations!$A$351:$A$406,MATCH(LARGE(Calculations!$C$351:$C$406,12),Calculations!$C$351:$C$406,0))</f>
        <v>#REF!</v>
      </c>
      <c r="B420" s="112" t="e">
        <f t="shared" si="43"/>
        <v>#REF!</v>
      </c>
      <c r="C420" s="112"/>
    </row>
    <row r="421" spans="1:3" x14ac:dyDescent="0.3">
      <c r="A421" s="178" t="e">
        <f>INDEX(Calculations!$A$351:$A$406,MATCH(LARGE(Calculations!$C$351:$C$406,13),Calculations!$C$351:$C$406,0))</f>
        <v>#REF!</v>
      </c>
      <c r="B421" s="112" t="e">
        <f t="shared" si="43"/>
        <v>#REF!</v>
      </c>
      <c r="C421" s="112"/>
    </row>
    <row r="422" spans="1:3" x14ac:dyDescent="0.3">
      <c r="A422" s="178" t="e">
        <f>INDEX(Calculations!$A$351:$A$406,MATCH(LARGE(Calculations!$C$351:$C$406,14),Calculations!$C$351:$C$406,0))</f>
        <v>#REF!</v>
      </c>
      <c r="B422" s="112" t="e">
        <f t="shared" si="43"/>
        <v>#REF!</v>
      </c>
      <c r="C422" s="112"/>
    </row>
    <row r="423" spans="1:3" x14ac:dyDescent="0.3">
      <c r="A423" s="178" t="e">
        <f>INDEX(Calculations!$A$351:$A$406,MATCH(LARGE(Calculations!$C$351:$C$406,15),Calculations!$C$351:$C$406,0))</f>
        <v>#REF!</v>
      </c>
      <c r="B423" s="112" t="e">
        <f t="shared" si="43"/>
        <v>#REF!</v>
      </c>
      <c r="C423" s="112"/>
    </row>
    <row r="424" spans="1:3" x14ac:dyDescent="0.3">
      <c r="A424" s="178" t="e">
        <f>INDEX(Calculations!$A$351:$A$406,MATCH(LARGE(Calculations!$C$351:$C$406,16),Calculations!$C$351:$C$406,0))</f>
        <v>#REF!</v>
      </c>
      <c r="B424" s="112" t="e">
        <f t="shared" si="43"/>
        <v>#REF!</v>
      </c>
      <c r="C424" s="112"/>
    </row>
    <row r="425" spans="1:3" x14ac:dyDescent="0.3">
      <c r="A425" s="178" t="e">
        <f>INDEX(Calculations!$A$351:$A$406,MATCH(LARGE(Calculations!$C$351:$C$406,17),Calculations!$C$351:$C$406,0))</f>
        <v>#REF!</v>
      </c>
      <c r="B425" s="112" t="e">
        <f t="shared" si="43"/>
        <v>#REF!</v>
      </c>
      <c r="C425" s="112"/>
    </row>
    <row r="426" spans="1:3" x14ac:dyDescent="0.3">
      <c r="A426" s="178" t="e">
        <f>INDEX(Calculations!$A$351:$A$406,MATCH(LARGE(Calculations!$C$351:$C$406,18),Calculations!$C$351:$C$406,0))</f>
        <v>#REF!</v>
      </c>
      <c r="B426" s="112" t="e">
        <f t="shared" si="43"/>
        <v>#REF!</v>
      </c>
      <c r="C426" s="112"/>
    </row>
    <row r="427" spans="1:3" x14ac:dyDescent="0.3">
      <c r="A427" s="178" t="e">
        <f>INDEX(Calculations!$A$351:$A$406,MATCH(LARGE(Calculations!$C$351:$C$406,19),Calculations!$C$351:$C$406,0))</f>
        <v>#REF!</v>
      </c>
      <c r="B427" s="112" t="e">
        <f t="shared" si="43"/>
        <v>#REF!</v>
      </c>
      <c r="C427" s="112"/>
    </row>
    <row r="428" spans="1:3" x14ac:dyDescent="0.3">
      <c r="A428" s="178" t="e">
        <f>INDEX(Calculations!$A$351:$A$406,MATCH(LARGE(Calculations!$C$351:$C$406,20),Calculations!$C$351:$C$406,0))</f>
        <v>#REF!</v>
      </c>
      <c r="B428" s="112" t="e">
        <f t="shared" si="43"/>
        <v>#REF!</v>
      </c>
      <c r="C428" s="112"/>
    </row>
    <row r="429" spans="1:3" x14ac:dyDescent="0.3">
      <c r="A429" s="112"/>
      <c r="B429" s="112"/>
      <c r="C429" s="112"/>
    </row>
    <row r="430" spans="1:3" x14ac:dyDescent="0.3">
      <c r="A430" s="154" t="s">
        <v>862</v>
      </c>
      <c r="B430" s="112"/>
      <c r="C430" s="112"/>
    </row>
    <row r="431" spans="1:3" x14ac:dyDescent="0.3">
      <c r="A431" s="112" t="e">
        <f>_xlfn.CONCAT(B409,B410,B411,B412,B413,B414,B415,B416,B417,B418,B419,B420,B421,B422,B423,B424,B425,B426,B427,B428)</f>
        <v>#REF!</v>
      </c>
      <c r="B431" s="112"/>
      <c r="C431" s="112"/>
    </row>
    <row r="432" spans="1:3" x14ac:dyDescent="0.3">
      <c r="A432" s="112"/>
      <c r="B432" s="112"/>
      <c r="C432" s="112"/>
    </row>
    <row r="433" spans="1:8" x14ac:dyDescent="0.3">
      <c r="A433" s="112"/>
      <c r="B433" s="112"/>
      <c r="C433" s="112"/>
    </row>
    <row r="434" spans="1:8" x14ac:dyDescent="0.3">
      <c r="A434" s="112"/>
      <c r="B434" s="112"/>
      <c r="C434" s="112"/>
    </row>
    <row r="435" spans="1:8" x14ac:dyDescent="0.3">
      <c r="A435" s="196" t="s">
        <v>863</v>
      </c>
      <c r="B435" s="112"/>
      <c r="C435" s="208"/>
      <c r="D435" s="112"/>
      <c r="E435" s="112"/>
      <c r="F435" s="112"/>
      <c r="G435" s="112"/>
      <c r="H435" s="112"/>
    </row>
    <row r="436" spans="1:8" x14ac:dyDescent="0.3">
      <c r="A436" s="112"/>
      <c r="B436" s="154" t="s">
        <v>437</v>
      </c>
      <c r="C436" s="209"/>
      <c r="D436" s="154"/>
      <c r="E436" s="154" t="s">
        <v>438</v>
      </c>
      <c r="F436" s="154"/>
      <c r="G436" s="154"/>
      <c r="H436" s="112"/>
    </row>
    <row r="437" spans="1:8" x14ac:dyDescent="0.3">
      <c r="A437" s="112"/>
      <c r="B437" s="112" t="s">
        <v>516</v>
      </c>
      <c r="C437" s="198"/>
      <c r="D437" s="198" t="s">
        <v>507</v>
      </c>
      <c r="E437" s="112" t="s">
        <v>516</v>
      </c>
      <c r="F437" s="198"/>
      <c r="G437" s="198" t="s">
        <v>507</v>
      </c>
      <c r="H437" s="112"/>
    </row>
    <row r="438" spans="1:8" x14ac:dyDescent="0.3">
      <c r="A438" s="112"/>
      <c r="B438" s="112" t="s">
        <v>519</v>
      </c>
      <c r="C438" s="112" t="s">
        <v>520</v>
      </c>
      <c r="D438" s="112" t="s">
        <v>521</v>
      </c>
      <c r="E438" s="112" t="s">
        <v>519</v>
      </c>
      <c r="F438" s="112" t="s">
        <v>520</v>
      </c>
      <c r="G438" s="112" t="s">
        <v>521</v>
      </c>
      <c r="H438" s="112"/>
    </row>
    <row r="439" spans="1:8" x14ac:dyDescent="0.3">
      <c r="A439" s="112" t="s">
        <v>143</v>
      </c>
      <c r="B439" s="201" t="e">
        <f>#REF!+#REF!+#REF!+#REF!+#REF!</f>
        <v>#REF!</v>
      </c>
      <c r="C439" s="172" t="e">
        <f>B439/$B$443</f>
        <v>#REF!</v>
      </c>
      <c r="D439" s="172"/>
      <c r="E439" s="201" t="e">
        <f>#REF!+#REF!+#REF!+#REF!+#REF!</f>
        <v>#REF!</v>
      </c>
      <c r="F439" s="172" t="e">
        <f>E439/$E$443</f>
        <v>#REF!</v>
      </c>
      <c r="G439" s="172"/>
      <c r="H439" s="199"/>
    </row>
    <row r="440" spans="1:8" x14ac:dyDescent="0.3">
      <c r="A440" s="112" t="s">
        <v>513</v>
      </c>
      <c r="B440" s="201" t="e">
        <f>#REF!+#REF!+#REF!+#REF!+#REF!+#REF!+#REF!</f>
        <v>#REF!</v>
      </c>
      <c r="C440" s="172" t="e">
        <f>B440/$B$443</f>
        <v>#REF!</v>
      </c>
      <c r="D440" s="172" t="e">
        <f>(C440*(1/(1-$C$439)))</f>
        <v>#REF!</v>
      </c>
      <c r="E440" s="201" t="e">
        <f>#REF!+#REF!+#REF!+#REF!+#REF!+#REF!+#REF!</f>
        <v>#REF!</v>
      </c>
      <c r="F440" s="172" t="e">
        <f>E440/$E$443</f>
        <v>#REF!</v>
      </c>
      <c r="G440" s="172" t="e">
        <f>(F440*(1/(1-$F$439)))</f>
        <v>#REF!</v>
      </c>
      <c r="H440" s="199"/>
    </row>
    <row r="441" spans="1:8" x14ac:dyDescent="0.3">
      <c r="A441" s="112" t="s">
        <v>514</v>
      </c>
      <c r="B441" s="201" t="e">
        <f>#REF!+#REF!+#REF!+#REF!+#REF!</f>
        <v>#REF!</v>
      </c>
      <c r="C441" s="172" t="e">
        <f>B441/$B$443</f>
        <v>#REF!</v>
      </c>
      <c r="D441" s="172" t="e">
        <f>(C441*(1/(1-$C$439)))</f>
        <v>#REF!</v>
      </c>
      <c r="E441" s="201" t="e">
        <f>#REF!+#REF!+#REF!+#REF!+#REF!</f>
        <v>#REF!</v>
      </c>
      <c r="F441" s="172" t="e">
        <f>E441/$E$443</f>
        <v>#REF!</v>
      </c>
      <c r="G441" s="172" t="e">
        <f>(F441*(1/(1-$F$439)))</f>
        <v>#REF!</v>
      </c>
      <c r="H441" s="199"/>
    </row>
    <row r="442" spans="1:8" x14ac:dyDescent="0.3">
      <c r="A442" s="112" t="s">
        <v>515</v>
      </c>
      <c r="B442" s="201" t="e">
        <f>$B443-$B441-$B440-$B439</f>
        <v>#REF!</v>
      </c>
      <c r="C442" s="172" t="e">
        <f>B442/$B$443</f>
        <v>#REF!</v>
      </c>
      <c r="D442" s="172" t="e">
        <f>B444-SUM(D440:D441)</f>
        <v>#REF!</v>
      </c>
      <c r="E442" s="201" t="e">
        <f>$E443-$E441-$E440-$E439</f>
        <v>#REF!</v>
      </c>
      <c r="F442" s="172" t="e">
        <f>E442/$E$443</f>
        <v>#REF!</v>
      </c>
      <c r="G442" s="172" t="e">
        <f>E444-SUM(G440:G441)</f>
        <v>#REF!</v>
      </c>
      <c r="H442" s="199"/>
    </row>
    <row r="443" spans="1:8" x14ac:dyDescent="0.3">
      <c r="A443" s="112" t="s">
        <v>389</v>
      </c>
      <c r="B443" s="201" t="e">
        <f>#REF!</f>
        <v>#REF!</v>
      </c>
      <c r="C443" s="172"/>
      <c r="D443" s="112"/>
      <c r="E443" s="201" t="e">
        <f>#REF!</f>
        <v>#REF!</v>
      </c>
      <c r="F443" s="172"/>
      <c r="G443" s="112"/>
      <c r="H443" s="199"/>
    </row>
    <row r="444" spans="1:8" x14ac:dyDescent="0.3">
      <c r="A444" s="112" t="s">
        <v>517</v>
      </c>
      <c r="B444" s="199">
        <f>'Census demographics'!$C$403</f>
        <v>0.25443871994758877</v>
      </c>
      <c r="C444" s="112"/>
      <c r="D444" s="112"/>
      <c r="E444" s="199">
        <f>'Census demographics'!$E$403</f>
        <v>0.21185902658379416</v>
      </c>
      <c r="F444" s="112"/>
      <c r="G444" s="112"/>
      <c r="H444" s="199"/>
    </row>
    <row r="445" spans="1:8" x14ac:dyDescent="0.3">
      <c r="A445" s="192" t="s">
        <v>518</v>
      </c>
      <c r="B445" s="193">
        <f>'Census demographics'!$C$407</f>
        <v>0.74556128005241118</v>
      </c>
      <c r="C445" s="192"/>
      <c r="D445" s="193">
        <f>B445</f>
        <v>0.74556128005241118</v>
      </c>
      <c r="E445" s="193">
        <f>'Census demographics'!$E$407</f>
        <v>0.78814097341620581</v>
      </c>
      <c r="F445" s="192"/>
      <c r="G445" s="193">
        <f>E445</f>
        <v>0.78814097341620581</v>
      </c>
      <c r="H445" s="112"/>
    </row>
    <row r="446" spans="1:8" x14ac:dyDescent="0.3">
      <c r="A446" s="112"/>
      <c r="B446" s="210"/>
      <c r="C446" s="112"/>
      <c r="D446" s="199"/>
      <c r="E446" s="210"/>
      <c r="F446" s="112"/>
      <c r="G446" s="199"/>
      <c r="H446" s="112"/>
    </row>
    <row r="447" spans="1:8" x14ac:dyDescent="0.3">
      <c r="A447" s="112"/>
      <c r="B447" s="210"/>
      <c r="C447" s="112"/>
      <c r="D447" s="199"/>
      <c r="E447" s="210"/>
      <c r="F447" s="112"/>
      <c r="G447" s="199"/>
      <c r="H447" s="112"/>
    </row>
    <row r="448" spans="1:8" x14ac:dyDescent="0.3">
      <c r="A448" s="112"/>
      <c r="B448" s="210"/>
      <c r="C448" s="112"/>
      <c r="D448" s="199"/>
      <c r="E448" s="210"/>
      <c r="F448" s="112"/>
      <c r="G448" s="199"/>
      <c r="H448" s="112"/>
    </row>
    <row r="449" spans="1:8" x14ac:dyDescent="0.3">
      <c r="A449" s="196" t="s">
        <v>836</v>
      </c>
      <c r="B449" s="112"/>
      <c r="C449" s="112"/>
      <c r="D449" s="112"/>
      <c r="E449" s="112"/>
      <c r="F449" s="112"/>
      <c r="G449" s="112"/>
      <c r="H449" s="112"/>
    </row>
    <row r="450" spans="1:8" x14ac:dyDescent="0.3">
      <c r="A450" s="185" t="s">
        <v>114</v>
      </c>
      <c r="B450" s="194" t="s">
        <v>369</v>
      </c>
      <c r="C450" s="176"/>
      <c r="D450" s="194" t="s">
        <v>370</v>
      </c>
      <c r="E450" s="194"/>
      <c r="F450" s="112"/>
      <c r="G450" s="112"/>
      <c r="H450" s="112"/>
    </row>
    <row r="451" spans="1:8" x14ac:dyDescent="0.3">
      <c r="A451" s="185"/>
      <c r="B451" s="177" t="s">
        <v>74</v>
      </c>
      <c r="C451" s="177" t="s">
        <v>75</v>
      </c>
      <c r="D451" s="177" t="s">
        <v>74</v>
      </c>
      <c r="E451" s="177" t="s">
        <v>75</v>
      </c>
      <c r="F451" s="112"/>
      <c r="G451" s="112"/>
      <c r="H451" s="112"/>
    </row>
    <row r="452" spans="1:8" x14ac:dyDescent="0.3">
      <c r="A452" s="178" t="s">
        <v>31</v>
      </c>
      <c r="B452" s="179">
        <f>'Census demographics'!B414</f>
        <v>40415</v>
      </c>
      <c r="C452" s="189">
        <f>'Census demographics'!C414</f>
        <v>0.1319178104548496</v>
      </c>
      <c r="D452" s="179">
        <f>'Census demographics'!D414</f>
        <v>192402</v>
      </c>
      <c r="E452" s="189">
        <f>'Census demographics'!E414</f>
        <v>0.14989704423864544</v>
      </c>
      <c r="F452" s="112"/>
      <c r="G452" s="112"/>
      <c r="H452" s="112"/>
    </row>
    <row r="453" spans="1:8" x14ac:dyDescent="0.3">
      <c r="A453" s="178" t="s">
        <v>628</v>
      </c>
      <c r="B453" s="179">
        <f>'Census demographics'!B415</f>
        <v>20969</v>
      </c>
      <c r="C453" s="189">
        <f>'Census demographics'!C415</f>
        <v>6.8444502472540927E-2</v>
      </c>
      <c r="D453" s="179">
        <f>'Census demographics'!D415</f>
        <v>112559</v>
      </c>
      <c r="E453" s="189">
        <f>'Census demographics'!E415</f>
        <v>8.7692754765842845E-2</v>
      </c>
      <c r="F453" s="112"/>
      <c r="G453" s="112"/>
      <c r="H453" s="112"/>
    </row>
    <row r="454" spans="1:8" x14ac:dyDescent="0.3">
      <c r="A454" s="178" t="s">
        <v>629</v>
      </c>
      <c r="B454" s="179">
        <f>'Census demographics'!B416</f>
        <v>30747</v>
      </c>
      <c r="C454" s="189">
        <f>'Census demographics'!C416</f>
        <v>0.10036068088717706</v>
      </c>
      <c r="D454" s="179">
        <f>'Census demographics'!D416</f>
        <v>167301</v>
      </c>
      <c r="E454" s="189">
        <f>'Census demographics'!E416</f>
        <v>0.13034129270054171</v>
      </c>
      <c r="F454" s="112"/>
      <c r="G454" s="112"/>
      <c r="H454" s="112"/>
    </row>
    <row r="455" spans="1:8" x14ac:dyDescent="0.3">
      <c r="A455" s="178" t="s">
        <v>117</v>
      </c>
      <c r="B455" s="179">
        <f>'Census demographics'!B417</f>
        <v>10996</v>
      </c>
      <c r="C455" s="189">
        <f>'Census demographics'!C417</f>
        <v>3.5891828374651151E-2</v>
      </c>
      <c r="D455" s="179">
        <f>'Census demographics'!D417</f>
        <v>65764</v>
      </c>
      <c r="E455" s="189">
        <f>'Census demographics'!E417</f>
        <v>5.123558599863972E-2</v>
      </c>
      <c r="F455" s="112"/>
      <c r="G455" s="112"/>
      <c r="H455" s="112"/>
    </row>
    <row r="456" spans="1:8" x14ac:dyDescent="0.3">
      <c r="A456" s="178" t="s">
        <v>630</v>
      </c>
      <c r="B456" s="179">
        <f>'Census demographics'!B418</f>
        <v>61449</v>
      </c>
      <c r="C456" s="189">
        <f>'Census demographics'!C418</f>
        <v>0.20057447815514173</v>
      </c>
      <c r="D456" s="179">
        <f>'Census demographics'!D418</f>
        <v>241348</v>
      </c>
      <c r="E456" s="189">
        <f>'Census demographics'!E418</f>
        <v>0.18803001960950824</v>
      </c>
      <c r="F456" s="112"/>
      <c r="G456" s="112"/>
      <c r="H456" s="112"/>
    </row>
    <row r="457" spans="1:8" x14ac:dyDescent="0.3">
      <c r="A457" s="178" t="s">
        <v>631</v>
      </c>
      <c r="B457" s="179">
        <f>'Census demographics'!B419</f>
        <v>135468</v>
      </c>
      <c r="C457" s="189">
        <f>'Census demographics'!C419</f>
        <v>0.44217844727694089</v>
      </c>
      <c r="D457" s="179">
        <f>'Census demographics'!D419</f>
        <v>473478</v>
      </c>
      <c r="E457" s="189">
        <f>'Census demographics'!E419</f>
        <v>0.36887845610765674</v>
      </c>
      <c r="F457" s="112"/>
      <c r="G457" s="112"/>
      <c r="H457" s="112"/>
    </row>
    <row r="458" spans="1:8" x14ac:dyDescent="0.3">
      <c r="A458" s="178" t="s">
        <v>32</v>
      </c>
      <c r="B458" s="179">
        <f>'Census demographics'!B420</f>
        <v>6321</v>
      </c>
      <c r="C458" s="189">
        <f>'Census demographics'!C420</f>
        <v>2.0632252378698611E-2</v>
      </c>
      <c r="D458" s="179">
        <f>'Census demographics'!D420</f>
        <v>30709</v>
      </c>
      <c r="E458" s="189">
        <f>'Census demographics'!E420</f>
        <v>2.3924846579165306E-2</v>
      </c>
      <c r="F458" s="112"/>
      <c r="G458" s="112"/>
      <c r="H458" s="112"/>
    </row>
    <row r="459" spans="1:8" x14ac:dyDescent="0.3">
      <c r="A459" s="183" t="s">
        <v>30</v>
      </c>
      <c r="B459" s="178">
        <f>'Census demographics'!B421</f>
        <v>306365</v>
      </c>
      <c r="C459" s="184"/>
      <c r="D459" s="178">
        <f>'Census demographics'!D421</f>
        <v>1283561</v>
      </c>
      <c r="E459" s="178"/>
      <c r="F459" s="112"/>
      <c r="G459" s="112"/>
      <c r="H459" s="112"/>
    </row>
    <row r="460" spans="1:8" x14ac:dyDescent="0.3">
      <c r="A460" s="112"/>
      <c r="B460" s="112"/>
      <c r="C460" s="112"/>
      <c r="D460" s="112"/>
      <c r="E460" s="112"/>
      <c r="F460" s="112"/>
      <c r="G460" s="112"/>
      <c r="H460" s="112"/>
    </row>
    <row r="461" spans="1:8" x14ac:dyDescent="0.3">
      <c r="A461" s="112"/>
      <c r="B461" s="112"/>
      <c r="C461" s="112"/>
      <c r="D461" s="112"/>
      <c r="E461" s="112"/>
      <c r="F461" s="112"/>
      <c r="G461" s="112"/>
      <c r="H461" s="112"/>
    </row>
    <row r="463" spans="1:8" x14ac:dyDescent="0.3">
      <c r="A463" s="196" t="s">
        <v>644</v>
      </c>
      <c r="B463" s="112"/>
      <c r="C463" s="208"/>
      <c r="D463" s="112"/>
      <c r="E463" s="112"/>
      <c r="F463" s="112"/>
    </row>
    <row r="464" spans="1:8" x14ac:dyDescent="0.3">
      <c r="A464" s="185" t="s">
        <v>632</v>
      </c>
      <c r="B464" s="194" t="s">
        <v>369</v>
      </c>
      <c r="C464" s="194"/>
      <c r="D464" s="194" t="s">
        <v>370</v>
      </c>
      <c r="E464" s="194"/>
      <c r="F464" s="112"/>
    </row>
    <row r="465" spans="1:6" x14ac:dyDescent="0.3">
      <c r="A465" s="185"/>
      <c r="B465" s="177" t="s">
        <v>74</v>
      </c>
      <c r="C465" s="177" t="s">
        <v>75</v>
      </c>
      <c r="D465" s="177" t="s">
        <v>74</v>
      </c>
      <c r="E465" s="177" t="s">
        <v>75</v>
      </c>
      <c r="F465" s="112"/>
    </row>
    <row r="466" spans="1:6" x14ac:dyDescent="0.3">
      <c r="A466" s="178" t="str">
        <f>INDEX('Census demographics'!$A$478:$A$500,MATCH(LARGE('Census demographics'!$C$478:$C$500,1),'Census demographics'!$C$478:$C$500,0))</f>
        <v>Q: Human health and social work activities</v>
      </c>
      <c r="B466" s="179">
        <f>VLOOKUP($A466,'Census demographics'!$A$478:$E$500,2,FALSE)</f>
        <v>29682</v>
      </c>
      <c r="C466" s="189">
        <f>VLOOKUP($A466,'Census demographics'!$A$478:$E$500,3,FALSE)</f>
        <v>0.1539163576965957</v>
      </c>
      <c r="D466" s="179">
        <f>VLOOKUP($A466,'Census demographics'!$A$478:$E$500,4,FALSE)</f>
        <v>113457</v>
      </c>
      <c r="E466" s="189">
        <f>VLOOKUP($A466,'Census demographics'!$A$478:$E$500,5,FALSE)</f>
        <v>0.14793850727585667</v>
      </c>
      <c r="F466" s="112"/>
    </row>
    <row r="467" spans="1:6" x14ac:dyDescent="0.3">
      <c r="A467" s="178" t="str">
        <f>INDEX('Census demographics'!$A$478:$A$500,MATCH(LARGE('Census demographics'!$C$478:$C$500,2),'Census demographics'!$C$478:$C$500,0))</f>
        <v>G: Wholesale and retail trade; repair of motor vehicles and motorcycles</v>
      </c>
      <c r="B467" s="179">
        <f>VLOOKUP($A467,'Census demographics'!$A$478:$E$500,2,FALSE)</f>
        <v>24354</v>
      </c>
      <c r="C467" s="189">
        <f>VLOOKUP($A467,'Census demographics'!$A$478:$E$500,3,FALSE)</f>
        <v>0.12628795146361066</v>
      </c>
      <c r="D467" s="179">
        <f>VLOOKUP($A467,'Census demographics'!$A$478:$E$500,4,FALSE)</f>
        <v>110306</v>
      </c>
      <c r="E467" s="189">
        <f>VLOOKUP($A467,'Census demographics'!$A$478:$E$500,5,FALSE)</f>
        <v>0.14382986491420227</v>
      </c>
      <c r="F467" s="112"/>
    </row>
    <row r="468" spans="1:6" x14ac:dyDescent="0.3">
      <c r="A468" s="178" t="str">
        <f>INDEX('Census demographics'!$A$478:$A$500,MATCH(LARGE('Census demographics'!$C$478:$C$500,3),'Census demographics'!$C$478:$C$500,0))</f>
        <v>P: Education</v>
      </c>
      <c r="B468" s="179">
        <f>VLOOKUP($A468,'Census demographics'!$A$478:$E$500,2,FALSE)</f>
        <v>22065</v>
      </c>
      <c r="C468" s="189">
        <f>VLOOKUP($A468,'Census demographics'!$A$478:$E$500,3,FALSE)</f>
        <v>0.11441831522725505</v>
      </c>
      <c r="D468" s="179">
        <f>VLOOKUP($A468,'Census demographics'!$A$478:$E$500,4,FALSE)</f>
        <v>78562</v>
      </c>
      <c r="E468" s="189">
        <f>VLOOKUP($A468,'Census demographics'!$A$478:$E$500,5,FALSE)</f>
        <v>0.10243832472748135</v>
      </c>
      <c r="F468" s="112"/>
    </row>
    <row r="469" spans="1:6" x14ac:dyDescent="0.3">
      <c r="A469" s="178" t="str">
        <f>INDEX('Census demographics'!$A$478:$A$500,MATCH(LARGE('Census demographics'!$C$478:$C$500,4),'Census demographics'!$C$478:$C$500,0))</f>
        <v>M: Professional, scientific and technical activities</v>
      </c>
      <c r="B469" s="179">
        <f>VLOOKUP($A469,'Census demographics'!$A$478:$E$500,2,FALSE)</f>
        <v>18400</v>
      </c>
      <c r="C469" s="189">
        <f>VLOOKUP($A469,'Census demographics'!$A$478:$E$500,3,FALSE)</f>
        <v>9.5413414918717104E-2</v>
      </c>
      <c r="D469" s="179">
        <f>VLOOKUP($A469,'Census demographics'!$A$478:$E$500,4,FALSE)</f>
        <v>57589</v>
      </c>
      <c r="E469" s="189">
        <f>VLOOKUP($A469,'Census demographics'!$A$478:$E$500,5,FALSE)</f>
        <v>7.5091274187659734E-2</v>
      </c>
      <c r="F469" s="112"/>
    </row>
    <row r="470" spans="1:6" x14ac:dyDescent="0.3">
      <c r="A470" s="178" t="str">
        <f>INDEX('Census demographics'!$A$478:$A$500,MATCH(LARGE('Census demographics'!$C$478:$C$500,5),'Census demographics'!$C$478:$C$500,0))</f>
        <v>F: Construction</v>
      </c>
      <c r="B470" s="179">
        <f>VLOOKUP($A470,'Census demographics'!$A$478:$E$500,2,FALSE)</f>
        <v>14009</v>
      </c>
      <c r="C470" s="189">
        <f>VLOOKUP($A470,'Census demographics'!$A$478:$E$500,3,FALSE)</f>
        <v>7.264383313023412E-2</v>
      </c>
      <c r="D470" s="179">
        <f>VLOOKUP($A470,'Census demographics'!$A$478:$E$500,4,FALSE)</f>
        <v>63402</v>
      </c>
      <c r="E470" s="189">
        <f>VLOOKUP($A470,'Census demographics'!$A$478:$E$500,5,FALSE)</f>
        <v>8.2670943514317002E-2</v>
      </c>
      <c r="F470" s="112"/>
    </row>
    <row r="471" spans="1:6" x14ac:dyDescent="0.3">
      <c r="A471" s="178" t="str">
        <f>INDEX('Census demographics'!$A$478:$A$500,MATCH(LARGE('Census demographics'!$C$478:$C$500,6),'Census demographics'!$C$478:$C$500,0))</f>
        <v>J: Information and communication</v>
      </c>
      <c r="B471" s="179">
        <f>VLOOKUP($A471,'Census demographics'!$A$478:$E$500,2,FALSE)</f>
        <v>13133</v>
      </c>
      <c r="C471" s="189">
        <f>VLOOKUP($A471,'Census demographics'!$A$478:$E$500,3,FALSE)</f>
        <v>6.8101324898234339E-2</v>
      </c>
      <c r="D471" s="179">
        <f>VLOOKUP($A471,'Census demographics'!$A$478:$E$500,4,FALSE)</f>
        <v>39814</v>
      </c>
      <c r="E471" s="189">
        <f>VLOOKUP($A471,'Census demographics'!$A$478:$E$500,5,FALSE)</f>
        <v>5.1914150106921193E-2</v>
      </c>
      <c r="F471" s="112"/>
    </row>
    <row r="472" spans="1:6" x14ac:dyDescent="0.3">
      <c r="A472" s="178" t="str">
        <f>INDEX('Census demographics'!$A$478:$A$500,MATCH(LARGE('Census demographics'!$C$478:$C$500,7),'Census demographics'!$C$478:$C$500,0))</f>
        <v>O: Public administration and defence; compulsory social security</v>
      </c>
      <c r="B472" s="179">
        <f>VLOOKUP($A472,'Census demographics'!$A$478:$E$500,2,FALSE)</f>
        <v>10597</v>
      </c>
      <c r="C472" s="189">
        <f>VLOOKUP($A472,'Census demographics'!$A$478:$E$500,3,FALSE)</f>
        <v>5.495086727682854E-2</v>
      </c>
      <c r="D472" s="179">
        <f>VLOOKUP($A472,'Census demographics'!$A$478:$E$500,4,FALSE)</f>
        <v>50534</v>
      </c>
      <c r="E472" s="189">
        <f>VLOOKUP($A472,'Census demographics'!$A$478:$E$500,5,FALSE)</f>
        <v>6.5892139988525528E-2</v>
      </c>
      <c r="F472" s="112"/>
    </row>
    <row r="473" spans="1:6" x14ac:dyDescent="0.3">
      <c r="A473" s="178" t="str">
        <f>INDEX('Census demographics'!$A$478:$A$500,MATCH(LARGE('Census demographics'!$C$478:$C$500,8),'Census demographics'!$C$478:$C$500,0))</f>
        <v>I: Accommodation and food service activities</v>
      </c>
      <c r="B473" s="179">
        <f>VLOOKUP($A473,'Census demographics'!$A$478:$E$500,2,FALSE)</f>
        <v>9918</v>
      </c>
      <c r="C473" s="189">
        <f>VLOOKUP($A473,'Census demographics'!$A$478:$E$500,3,FALSE)</f>
        <v>5.1429904845860665E-2</v>
      </c>
      <c r="D473" s="179">
        <f>VLOOKUP($A473,'Census demographics'!$A$478:$E$500,4,FALSE)</f>
        <v>36254</v>
      </c>
      <c r="E473" s="189">
        <f>VLOOKUP($A473,'Census demographics'!$A$478:$E$500,5,FALSE)</f>
        <v>4.7272205705940644E-2</v>
      </c>
      <c r="F473" s="112"/>
    </row>
    <row r="474" spans="1:6" x14ac:dyDescent="0.3">
      <c r="A474" s="178" t="str">
        <f>INDEX('Census demographics'!$A$478:$A$500,MATCH(LARGE('Census demographics'!$C$478:$C$500,9),'Census demographics'!$C$478:$C$500,0))</f>
        <v>N: Administrative and support service activities</v>
      </c>
      <c r="B474" s="179">
        <f>VLOOKUP($A474,'Census demographics'!$A$478:$E$500,2,FALSE)</f>
        <v>9865</v>
      </c>
      <c r="C474" s="189">
        <f>VLOOKUP($A474,'Census demographics'!$A$478:$E$500,3,FALSE)</f>
        <v>5.1155072726801316E-2</v>
      </c>
      <c r="D474" s="179">
        <f>VLOOKUP($A474,'Census demographics'!$A$478:$E$500,4,FALSE)</f>
        <v>37460</v>
      </c>
      <c r="E474" s="189">
        <f>VLOOKUP($A474,'Census demographics'!$A$478:$E$500,5,FALSE)</f>
        <v>4.8844729567621134E-2</v>
      </c>
      <c r="F474" s="112"/>
    </row>
    <row r="475" spans="1:6" x14ac:dyDescent="0.3">
      <c r="A475" s="178" t="str">
        <f>INDEX('Census demographics'!$A$478:$A$500,MATCH(LARGE('Census demographics'!$C$478:$C$500,10),'Census demographics'!$C$478:$C$500,0))</f>
        <v>C: Manufacturing</v>
      </c>
      <c r="B475" s="179">
        <f>VLOOKUP($A475,'Census demographics'!$A$478:$E$500,2,FALSE)</f>
        <v>9244</v>
      </c>
      <c r="C475" s="189">
        <f>VLOOKUP($A475,'Census demographics'!$A$478:$E$500,3,FALSE)</f>
        <v>4.7934869973294617E-2</v>
      </c>
      <c r="D475" s="179">
        <f>VLOOKUP($A475,'Census demographics'!$A$478:$E$500,4,FALSE)</f>
        <v>51354</v>
      </c>
      <c r="E475" s="189">
        <f>VLOOKUP($A475,'Census demographics'!$A$478:$E$500,5,FALSE)</f>
        <v>6.6961351901110938E-2</v>
      </c>
      <c r="F475" s="112"/>
    </row>
    <row r="476" spans="1:6" x14ac:dyDescent="0.3">
      <c r="A476" s="155"/>
      <c r="B476" s="167"/>
      <c r="C476" s="168"/>
      <c r="D476" s="167"/>
      <c r="E476" s="168"/>
      <c r="F476" s="112"/>
    </row>
    <row r="477" spans="1:6" x14ac:dyDescent="0.3">
      <c r="A477" s="155"/>
      <c r="B477" s="167"/>
      <c r="C477" s="168"/>
      <c r="D477" s="167"/>
      <c r="E477" s="168"/>
      <c r="F477" s="112"/>
    </row>
    <row r="478" spans="1:6" x14ac:dyDescent="0.3">
      <c r="A478" s="155"/>
      <c r="B478" s="167"/>
      <c r="C478" s="168"/>
      <c r="D478" s="167"/>
      <c r="E478" s="168"/>
      <c r="F478" s="112"/>
    </row>
    <row r="479" spans="1:6" x14ac:dyDescent="0.3">
      <c r="A479" s="155"/>
      <c r="B479" s="167"/>
      <c r="C479" s="168"/>
      <c r="D479" s="167"/>
      <c r="E479" s="168"/>
      <c r="F479" s="112"/>
    </row>
    <row r="480" spans="1:6" x14ac:dyDescent="0.3">
      <c r="A480" s="155"/>
      <c r="B480" s="167"/>
      <c r="C480" s="168"/>
      <c r="D480" s="167"/>
      <c r="E480" s="168"/>
      <c r="F480" s="112"/>
    </row>
    <row r="481" spans="1:6" x14ac:dyDescent="0.3">
      <c r="A481" s="155"/>
      <c r="B481" s="167"/>
      <c r="C481" s="168"/>
      <c r="D481" s="167"/>
      <c r="E481" s="168"/>
      <c r="F481" s="112"/>
    </row>
    <row r="482" spans="1:6" x14ac:dyDescent="0.3">
      <c r="A482" s="155"/>
      <c r="B482" s="167"/>
      <c r="C482" s="168"/>
      <c r="D482" s="167"/>
      <c r="E482" s="168"/>
      <c r="F482" s="112"/>
    </row>
    <row r="483" spans="1:6" x14ac:dyDescent="0.3">
      <c r="A483" s="155"/>
      <c r="B483" s="167"/>
      <c r="C483" s="168"/>
      <c r="D483" s="167"/>
      <c r="E483" s="168"/>
      <c r="F483" s="112"/>
    </row>
  </sheetData>
  <mergeCells count="10">
    <mergeCell ref="B254:C254"/>
    <mergeCell ref="D254:E254"/>
    <mergeCell ref="B350:C350"/>
    <mergeCell ref="D350:E350"/>
    <mergeCell ref="B180:C180"/>
    <mergeCell ref="D180:E180"/>
    <mergeCell ref="B194:C194"/>
    <mergeCell ref="D194:E194"/>
    <mergeCell ref="B206:C206"/>
    <mergeCell ref="D206:E206"/>
  </mergeCells>
  <conditionalFormatting sqref="F157:F164">
    <cfRule type="cellIs" dxfId="3" priority="4" operator="greaterThan">
      <formula>110</formula>
    </cfRule>
    <cfRule type="cellIs" dxfId="2" priority="5" operator="lessThan">
      <formula>90</formula>
    </cfRule>
  </conditionalFormatting>
  <conditionalFormatting sqref="G157:G164">
    <cfRule type="expression" dxfId="1" priority="1">
      <formula>AND(F157&gt;=110,(C157-E157&gt;=0.05),$B$95&gt;0,$D$95&gt;0)</formula>
    </cfRule>
    <cfRule type="expression" dxfId="0" priority="2">
      <formula>AND(F157&lt;=90,(E157-C157&gt;=0.05),$B$95&gt;0,$D$95&gt;0)</formula>
    </cfRule>
    <cfRule type="dataBar" priority="3">
      <dataBar showValue="0">
        <cfvo type="num" val="-100"/>
        <cfvo type="num" val="200"/>
        <color theme="6"/>
      </dataBar>
      <extLst>
        <ext xmlns:x14="http://schemas.microsoft.com/office/spreadsheetml/2009/9/main" uri="{B025F937-C7B1-47D3-B67F-A62EFF666E3E}">
          <x14:id>{993C6680-EC11-4E13-B4A9-A096E60E6E50}</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993C6680-EC11-4E13-B4A9-A096E60E6E50}">
            <x14:dataBar minLength="0" maxLength="100" gradient="0">
              <x14:cfvo type="num">
                <xm:f>-100</xm:f>
              </x14:cfvo>
              <x14:cfvo type="num">
                <xm:f>200</xm:f>
              </x14:cfvo>
              <x14:negativeFillColor theme="7"/>
              <x14:axisColor rgb="FF000000"/>
            </x14:dataBar>
          </x14:cfRule>
          <xm:sqref>G157:G164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sheetPr>
  <dimension ref="A1:F5"/>
  <sheetViews>
    <sheetView zoomScaleNormal="100" workbookViewId="0">
      <selection sqref="A1:D3"/>
    </sheetView>
  </sheetViews>
  <sheetFormatPr defaultColWidth="14.28515625" defaultRowHeight="15" customHeight="1" x14ac:dyDescent="0.35"/>
  <cols>
    <col min="1" max="1" width="14.28515625" style="26" customWidth="1"/>
    <col min="2" max="16384" width="14.28515625" style="26"/>
  </cols>
  <sheetData>
    <row r="1" spans="1:6" ht="15" customHeight="1" x14ac:dyDescent="0.35">
      <c r="A1" s="293" t="s">
        <v>122</v>
      </c>
      <c r="B1" s="293"/>
      <c r="C1" s="293"/>
      <c r="D1" s="293"/>
      <c r="E1" s="25"/>
      <c r="F1" s="25"/>
    </row>
    <row r="2" spans="1:6" ht="20.25" customHeight="1" x14ac:dyDescent="0.35">
      <c r="A2" s="293"/>
      <c r="B2" s="293"/>
      <c r="C2" s="293"/>
      <c r="D2" s="293"/>
      <c r="E2" s="25"/>
      <c r="F2" s="25"/>
    </row>
    <row r="3" spans="1:6" ht="15" customHeight="1" x14ac:dyDescent="0.35">
      <c r="A3" s="293"/>
      <c r="B3" s="293"/>
      <c r="C3" s="293"/>
      <c r="D3" s="293"/>
      <c r="E3" s="25"/>
      <c r="F3" s="25"/>
    </row>
    <row r="4" spans="1:6" ht="93" customHeight="1" x14ac:dyDescent="0.35">
      <c r="A4" s="294" t="s">
        <v>123</v>
      </c>
      <c r="B4" s="294"/>
      <c r="C4" s="294"/>
      <c r="D4" s="294"/>
      <c r="E4" s="294"/>
      <c r="F4" s="294"/>
    </row>
    <row r="5" spans="1:6" ht="15" customHeight="1" x14ac:dyDescent="0.35">
      <c r="B5" s="24"/>
    </row>
  </sheetData>
  <mergeCells count="2">
    <mergeCell ref="A1:D3"/>
    <mergeCell ref="A4:F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16E074414E994589950CC61AABFFF5" ma:contentTypeVersion="18" ma:contentTypeDescription="Create a new document." ma:contentTypeScope="" ma:versionID="bd3f53ac8847b016965945d75ba28dbc">
  <xsd:schema xmlns:xsd="http://www.w3.org/2001/XMLSchema" xmlns:xs="http://www.w3.org/2001/XMLSchema" xmlns:p="http://schemas.microsoft.com/office/2006/metadata/properties" xmlns:ns2="7f796f90-8456-46f7-93be-f9597a47922b" xmlns:ns3="4c91939a-e0c4-4a92-a2b4-11595442bae2" targetNamespace="http://schemas.microsoft.com/office/2006/metadata/properties" ma:root="true" ma:fieldsID="3998ecbdb85f24e2e70827031df721c4" ns2:_="" ns3:_="">
    <xsd:import namespace="7f796f90-8456-46f7-93be-f9597a47922b"/>
    <xsd:import namespace="4c91939a-e0c4-4a92-a2b4-11595442bae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796f90-8456-46f7-93be-f9597a47922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2" nillable="true" ma:displayName="Taxonomy Catch All Column" ma:hidden="true" ma:list="{85aa5553-05cd-495f-a8cd-c90720b9ab52}" ma:internalName="TaxCatchAll" ma:showField="CatchAllData" ma:web="7f796f90-8456-46f7-93be-f9597a4792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c91939a-e0c4-4a92-a2b4-11595442bae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c2615db-15a1-41f7-8c37-85d64f6de7f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c91939a-e0c4-4a92-a2b4-11595442bae2">
      <Terms xmlns="http://schemas.microsoft.com/office/infopath/2007/PartnerControls"/>
    </lcf76f155ced4ddcb4097134ff3c332f>
    <TaxCatchAll xmlns="7f796f90-8456-46f7-93be-f9597a47922b" xsi:nil="true"/>
  </documentManagement>
</p:properties>
</file>

<file path=customXml/itemProps1.xml><?xml version="1.0" encoding="utf-8"?>
<ds:datastoreItem xmlns:ds="http://schemas.openxmlformats.org/officeDocument/2006/customXml" ds:itemID="{946797E1-D120-4E56-9A83-2B117739E7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796f90-8456-46f7-93be-f9597a47922b"/>
    <ds:schemaRef ds:uri="4c91939a-e0c4-4a92-a2b4-11595442ba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792B71-A043-458C-A2FD-7D8E782A0EA5}">
  <ds:schemaRefs>
    <ds:schemaRef ds:uri="http://schemas.microsoft.com/sharepoint/v3/contenttype/forms"/>
  </ds:schemaRefs>
</ds:datastoreItem>
</file>

<file path=customXml/itemProps3.xml><?xml version="1.0" encoding="utf-8"?>
<ds:datastoreItem xmlns:ds="http://schemas.openxmlformats.org/officeDocument/2006/customXml" ds:itemID="{B1190DB5-2B53-46B8-84AD-7E811CAB3FF6}">
  <ds:schemaRefs>
    <ds:schemaRef ds:uri="7f796f90-8456-46f7-93be-f9597a47922b"/>
    <ds:schemaRef ds:uri="http://schemas.microsoft.com/office/2006/documentManagement/types"/>
    <ds:schemaRef ds:uri="http://purl.org/dc/terms/"/>
    <ds:schemaRef ds:uri="http://schemas.microsoft.com/office/2006/metadata/properties"/>
    <ds:schemaRef ds:uri="http://purl.org/dc/elements/1.1/"/>
    <ds:schemaRef ds:uri="4c91939a-e0c4-4a92-a2b4-11595442bae2"/>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Introduction</vt:lpstr>
      <vt:lpstr>Segmentation</vt:lpstr>
      <vt:lpstr>Census demographics</vt:lpstr>
      <vt:lpstr>LMSE</vt:lpstr>
      <vt:lpstr>Calculations</vt:lpstr>
      <vt:lpstr>Disclaimer</vt:lpstr>
      <vt:lpstr>'Census demographics'!Print_Area</vt:lpstr>
      <vt:lpstr>Disclaimer!Print_Area</vt:lpstr>
      <vt:lpstr>Introduction!Print_Area</vt:lpstr>
      <vt:lpstr>LMSE!Print_Area</vt:lpstr>
      <vt:lpstr>Segmentation!Print_Area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Cowley</dc:creator>
  <cp:keywords/>
  <dc:description/>
  <cp:lastModifiedBy>Daniel Cowley</cp:lastModifiedBy>
  <cp:revision/>
  <cp:lastPrinted>2023-09-15T12:12:56Z</cp:lastPrinted>
  <dcterms:created xsi:type="dcterms:W3CDTF">2016-05-11T11:47:29Z</dcterms:created>
  <dcterms:modified xsi:type="dcterms:W3CDTF">2024-02-19T16:11:03Z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0x0101007616E074414E994589950CC61AABFFF5</vt:lpwstr>
  </property>
  <property fmtid="{D5CDD505-2E9C-101B-9397-08002B2CF9AE}" pid="3" name="AuthorIds_UIVersion_512">
    <vt:lpwstr>21</vt:lpwstr>
  </property>
  <property fmtid="{D5CDD505-2E9C-101B-9397-08002B2CF9AE}" pid="4" name="TaxKeyword">
    <vt:lpwstr/>
  </property>
  <property fmtid="{D5CDD505-2E9C-101B-9397-08002B2CF9AE}" pid="5" name="MediaServiceImageTags">
    <vt:lpwstr/>
  </property>
</Properties>
</file>